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bitdk-my.sharepoint.com/personal/opj_kombit_dk/Documents/Dokumenter/SPK/KP Temavejledninger/Opgaver/"/>
    </mc:Choice>
  </mc:AlternateContent>
  <xr:revisionPtr revIDLastSave="0" documentId="8_{FC9E41E1-312E-4233-91CC-F3ED09FDD570}" xr6:coauthVersionLast="47" xr6:coauthVersionMax="47" xr10:uidLastSave="{00000000-0000-0000-0000-000000000000}"/>
  <bookViews>
    <workbookView xWindow="-120" yWindow="-120" windowWidth="29040" windowHeight="15840" xr2:uid="{DDFD821E-E011-43FE-9053-EEBCD4CEC20A}"/>
  </bookViews>
  <sheets>
    <sheet name="Sønderborg opgavepakker" sheetId="3" r:id="rId1"/>
    <sheet name="Sønderborg hændelsesabonneme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8" i="2" l="1"/>
  <c r="H118" i="2"/>
  <c r="G118" i="2"/>
  <c r="F118" i="2"/>
  <c r="E118" i="2"/>
  <c r="D118" i="2"/>
  <c r="C118" i="2"/>
  <c r="B118" i="2"/>
  <c r="A118" i="2"/>
  <c r="I117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B115" i="2"/>
  <c r="A115" i="2"/>
  <c r="I114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I99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I94" i="2"/>
  <c r="H94" i="2"/>
  <c r="G94" i="2"/>
  <c r="F94" i="2"/>
  <c r="E94" i="2"/>
  <c r="D94" i="2"/>
  <c r="C94" i="2"/>
  <c r="B94" i="2"/>
  <c r="A94" i="2"/>
  <c r="I93" i="2"/>
  <c r="H93" i="2"/>
  <c r="G93" i="2"/>
  <c r="F93" i="2"/>
  <c r="E93" i="2"/>
  <c r="D93" i="2"/>
  <c r="C93" i="2"/>
  <c r="B93" i="2"/>
  <c r="A93" i="2"/>
  <c r="I92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I86" i="2"/>
  <c r="H86" i="2"/>
  <c r="G86" i="2"/>
  <c r="F86" i="2"/>
  <c r="E86" i="2"/>
  <c r="D86" i="2"/>
  <c r="C86" i="2"/>
  <c r="B86" i="2"/>
  <c r="A86" i="2"/>
  <c r="I85" i="2"/>
  <c r="H85" i="2"/>
  <c r="G85" i="2"/>
  <c r="F85" i="2"/>
  <c r="E85" i="2"/>
  <c r="D85" i="2"/>
  <c r="C85" i="2"/>
  <c r="B85" i="2"/>
  <c r="A85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I57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I54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I51" i="2"/>
  <c r="H51" i="2"/>
  <c r="G51" i="2"/>
  <c r="F51" i="2"/>
  <c r="E51" i="2"/>
  <c r="D51" i="2"/>
  <c r="C51" i="2"/>
  <c r="B51" i="2"/>
  <c r="A51" i="2"/>
  <c r="I50" i="2"/>
  <c r="H50" i="2"/>
  <c r="G50" i="2"/>
  <c r="F50" i="2"/>
  <c r="E50" i="2"/>
  <c r="D50" i="2"/>
  <c r="C50" i="2"/>
  <c r="B50" i="2"/>
  <c r="A50" i="2"/>
  <c r="I49" i="2"/>
  <c r="H49" i="2"/>
  <c r="G49" i="2"/>
  <c r="F49" i="2"/>
  <c r="E49" i="2"/>
  <c r="D49" i="2"/>
  <c r="C49" i="2"/>
  <c r="B49" i="2"/>
  <c r="A49" i="2"/>
  <c r="I48" i="2"/>
  <c r="H48" i="2"/>
  <c r="G48" i="2"/>
  <c r="F48" i="2"/>
  <c r="E48" i="2"/>
  <c r="D48" i="2"/>
  <c r="C48" i="2"/>
  <c r="B48" i="2"/>
  <c r="A48" i="2"/>
  <c r="I47" i="2"/>
  <c r="H47" i="2"/>
  <c r="G47" i="2"/>
  <c r="F47" i="2"/>
  <c r="E47" i="2"/>
  <c r="D47" i="2"/>
  <c r="C47" i="2"/>
  <c r="B47" i="2"/>
  <c r="A47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I35" i="2"/>
  <c r="H35" i="2"/>
  <c r="G35" i="2"/>
  <c r="F35" i="2"/>
  <c r="E35" i="2"/>
  <c r="D35" i="2"/>
  <c r="C35" i="2"/>
  <c r="B35" i="2"/>
  <c r="A35" i="2"/>
  <c r="I34" i="2"/>
  <c r="H34" i="2"/>
  <c r="G34" i="2"/>
  <c r="F34" i="2"/>
  <c r="E34" i="2"/>
  <c r="D34" i="2"/>
  <c r="C34" i="2"/>
  <c r="B34" i="2"/>
  <c r="A34" i="2"/>
  <c r="I33" i="2"/>
  <c r="H33" i="2"/>
  <c r="G33" i="2"/>
  <c r="F33" i="2"/>
  <c r="E33" i="2"/>
  <c r="D33" i="2"/>
  <c r="C33" i="2"/>
  <c r="B33" i="2"/>
  <c r="A33" i="2"/>
  <c r="I32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I24" i="2"/>
  <c r="H24" i="2"/>
  <c r="G24" i="2"/>
  <c r="F24" i="2"/>
  <c r="E24" i="2"/>
  <c r="D24" i="2"/>
  <c r="C24" i="2"/>
  <c r="B24" i="2"/>
  <c r="A24" i="2"/>
  <c r="I23" i="2"/>
  <c r="H23" i="2"/>
  <c r="G23" i="2"/>
  <c r="F23" i="2"/>
  <c r="E23" i="2"/>
  <c r="D23" i="2"/>
  <c r="C23" i="2"/>
  <c r="B23" i="2"/>
  <c r="A23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I14" i="2"/>
  <c r="H14" i="2"/>
  <c r="G14" i="2"/>
  <c r="F14" i="2"/>
  <c r="E14" i="2"/>
  <c r="D14" i="2"/>
  <c r="C14" i="2"/>
  <c r="B14" i="2"/>
  <c r="A14" i="2"/>
  <c r="I13" i="2"/>
  <c r="H13" i="2"/>
  <c r="G13" i="2"/>
  <c r="F13" i="2"/>
  <c r="E13" i="2"/>
  <c r="D13" i="2"/>
  <c r="C13" i="2"/>
  <c r="B13" i="2"/>
  <c r="A13" i="2"/>
  <c r="I12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I8" i="2"/>
  <c r="H8" i="2"/>
  <c r="G8" i="2"/>
  <c r="F8" i="2"/>
  <c r="E8" i="2"/>
  <c r="D8" i="2"/>
  <c r="C8" i="2"/>
  <c r="B8" i="2"/>
  <c r="A8" i="2"/>
  <c r="I7" i="2"/>
  <c r="H7" i="2"/>
  <c r="G7" i="2"/>
  <c r="F7" i="2"/>
  <c r="E7" i="2"/>
  <c r="D7" i="2"/>
  <c r="C7" i="2"/>
  <c r="B7" i="2"/>
  <c r="A7" i="2"/>
  <c r="I6" i="2"/>
  <c r="H6" i="2"/>
  <c r="G6" i="2"/>
  <c r="F6" i="2"/>
  <c r="E6" i="2"/>
  <c r="D6" i="2"/>
  <c r="C6" i="2"/>
  <c r="B6" i="2"/>
  <c r="A6" i="2"/>
  <c r="I5" i="2"/>
  <c r="H5" i="2"/>
  <c r="G5" i="2"/>
  <c r="F5" i="2"/>
  <c r="E5" i="2"/>
  <c r="D5" i="2"/>
  <c r="C5" i="2"/>
  <c r="B5" i="2"/>
  <c r="A5" i="2"/>
  <c r="I4" i="2"/>
  <c r="H4" i="2"/>
  <c r="G4" i="2"/>
  <c r="F4" i="2"/>
  <c r="E4" i="2"/>
  <c r="D4" i="2"/>
  <c r="C4" i="2"/>
  <c r="B4" i="2"/>
  <c r="A4" i="2"/>
  <c r="I3" i="2"/>
  <c r="H3" i="2"/>
  <c r="G3" i="2"/>
  <c r="F3" i="2"/>
  <c r="E3" i="2"/>
  <c r="D3" i="2"/>
  <c r="C3" i="2"/>
  <c r="B3" i="2"/>
  <c r="A3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<sst xmlns="http://schemas.openxmlformats.org/spreadsheetml/2006/main" count="103" uniqueCount="68">
  <si>
    <t>Titel</t>
  </si>
  <si>
    <t>Dybbøl Plejecenter</t>
  </si>
  <si>
    <t>..</t>
  </si>
  <si>
    <t>Beløbsgodkender</t>
  </si>
  <si>
    <t>fraflytning</t>
  </si>
  <si>
    <t>Personligt tillæg</t>
  </si>
  <si>
    <t>Helbredstillæg og udvidet helbredstillæg</t>
  </si>
  <si>
    <t>Opkrævning</t>
  </si>
  <si>
    <t>APØ</t>
  </si>
  <si>
    <t>Arkiver papirssag</t>
  </si>
  <si>
    <t>Brians Opgavebakke</t>
  </si>
  <si>
    <t>Fodpleje opfølgningsopg årligt</t>
  </si>
  <si>
    <t>Rehab</t>
  </si>
  <si>
    <t>Beskrivelse</t>
  </si>
  <si>
    <t xml:space="preserve">Eksempel på opgavepakke, der indeholder opgaver på sager, som ligger på en decentral administrativ enhed. </t>
  </si>
  <si>
    <t>Samler opgaver, hvor der er behov for beløbsgodkendelse</t>
  </si>
  <si>
    <t>Fraflytningsopgaver, der skal håndteres hurtigt.</t>
  </si>
  <si>
    <t>Alle opgaver der knytter sig til team for Personlige tillæg</t>
  </si>
  <si>
    <t>Alle opgaver der knytter sig til team for Helbredstillæg</t>
  </si>
  <si>
    <t>Opgaver vedr. træk fra den centrale opkrævningsteam</t>
  </si>
  <si>
    <t>Til advisering af administrationsteam</t>
  </si>
  <si>
    <t>Håndtering af arkivsager</t>
  </si>
  <si>
    <t>Koordinatoropgaver</t>
  </si>
  <si>
    <t>Til evt. genbevilling af fodplejetillæg (kommunens egen opfølgningsopgavetype)</t>
  </si>
  <si>
    <t>Til rehabiliteringsteamet</t>
  </si>
  <si>
    <t>Opgavetype</t>
  </si>
  <si>
    <t>="Bestem finansieringskommune manuelt, Dan sagsudtræk, Dødsproces, Fraflytning, Håndter afviste træk, Håndter opfølgningsopgave, Opret bevilling, Opret journalnotat, Opret opfølgningsopgave, Opret træk, Registre kontaktperson/værge, Registrer særlige oply</t>
  </si>
  <si>
    <t>Fraflytning</t>
  </si>
  <si>
    <t>Fraflytning, Håndter opfølgningsopgave, Opret bevilling, Opret journalnotat, Opret opfølgningsopgave, Opret træk, Ret sag, Ret planlagt træk, Ret planlagt udbetaling, Rådighedsberegning, Send brev, Stop sag, Tilføj ydelse til bevilling</t>
  </si>
  <si>
    <t>Fraflytning, Håndter opfølgningsopgave, Opret bevilling, Opret journalnotat, Opret opfølgningsopgave, Ret sag, Ret planlagt udbetaling, Send brev, Stop sag, Tilføj ydelse til bevilling</t>
  </si>
  <si>
    <t>Håndter afviste træk, Opret træk</t>
  </si>
  <si>
    <t>Håndter opfølgningsopgave</t>
  </si>
  <si>
    <t>Opfølgningsopgavetype</t>
  </si>
  <si>
    <t>broek-procent-aendring, UDKPE-overgang-til-fop, UDKPE-pensionsbroekprocent, revurder-supplement, revurdering-personligt-tillaeg, haandter-supplement-til-broekpension-tilflytning, indkomst_overstiger_graense, indkomst_under_graense</t>
  </si>
  <si>
    <t>opfoelgningsopgavetype-28JFRD, UDKPE-formue, cpr_navn_aendring, UDKPE-tillaegsprocent</t>
  </si>
  <si>
    <t>borger-under-administration-flytter, stop-administrationssag, administration</t>
  </si>
  <si>
    <t>borger-doed-papir-sager</t>
  </si>
  <si>
    <t>="maf-fin-kommune-skift-automatisk-bos, maf-fin-kommune-skift-automatisk-foep, BATCH_MEDFINANSIERINGSOPKRAEVNINGER, maf-groenland, lokal_konto_not_mapped_error_uuid_fejl, hent_fradrag_fejl, tf_validering_fejlet, tf_ikke_aktiv_handlekommune, tf_ikke_pensio</t>
  </si>
  <si>
    <t>custom-opfoelgningsopgave</t>
  </si>
  <si>
    <t>bistandspleje-annullering, bistandspleje-start, bistandspleje-stop</t>
  </si>
  <si>
    <t>CPR interval (fra)</t>
  </si>
  <si>
    <t>CPR interval (til)</t>
  </si>
  <si>
    <t>Sagstype</t>
  </si>
  <si>
    <t>Almindeligt helbredstillæg, Helbredstillægskort, Personligt tillæg, Supplement til brøkpension (LAS §27a), Supplerende hjælp - personligt tillæg, Udvidet helbredstillæg</t>
  </si>
  <si>
    <t>Personligt tillæg, Supplerende hjælp - personligt tillæg</t>
  </si>
  <si>
    <t>Almindeligt helbredstillæg, Helbredstillægskort, Udvidet helbredstillæg</t>
  </si>
  <si>
    <t>Bistandstillæg, Plejetillæg</t>
  </si>
  <si>
    <t>Sagstilstand</t>
  </si>
  <si>
    <t>Pensionstype</t>
  </si>
  <si>
    <t>="Almindelig førtidspension, Folkepension, Folkepension med førtidsbeløb, Folkepension med invaliditetsbeløb, Folkepension med invaliditetsbeløb og erhvervsudygtighedsbeløb, Forhøjet almindelig førtidspension, Højeste førtidspension, Mellemste førtidspens</t>
  </si>
  <si>
    <t>Almindelig førtidspension, Folkepension, Folkepension med invaliditetsbeløb og erhvervsudygtighedsbeløb, Førtidspension 2003, Højeste førtidspension, Mellemste førtidspension, null</t>
  </si>
  <si>
    <t xml:space="preserve">="Almindelig førtidspension, Folkepension, Folkepension med førtidsbeløb, Folkepension med invaliditetsbeløb, Folkepension med invaliditetsbeløb og erhvervsudygtighedsbeløb, Forhøjet almindelig førtidspension, Førtidspension 2003, Højeste førtidspension, </t>
  </si>
  <si>
    <t>Beløbsgodkendelse</t>
  </si>
  <si>
    <t>Kun opgaver til beløbsgodkendelse</t>
  </si>
  <si>
    <t>Begge</t>
  </si>
  <si>
    <t>Administrativ enhed</t>
  </si>
  <si>
    <t>Borgerservice</t>
  </si>
  <si>
    <t>Personopgaver</t>
  </si>
  <si>
    <t>Kun personopgaver</t>
  </si>
  <si>
    <t>Roller</t>
  </si>
  <si>
    <t>SERVICETRAEKMEDARBEJDER</t>
  </si>
  <si>
    <t>BELOEBSGODKENDER</t>
  </si>
  <si>
    <t>SAGSBEHANDLERBEVILLINGER</t>
  </si>
  <si>
    <t>Inaktiveret</t>
  </si>
  <si>
    <t>Hændelsestype</t>
  </si>
  <si>
    <t>Forfaldsfrist</t>
  </si>
  <si>
    <t>Opsplitning af opfølgningsopgave</t>
  </si>
  <si>
    <t>Sagtyper til opsplitning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</si>
</sst>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</font>
    <font>
      <b/>
      <sz val="8"/>
      <color rgb="FFFFFFFF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563D82"/>
        <bgColor indexed="64"/>
      </patternFill>
    </fill>
    <fill>
      <patternFill patternType="solid">
        <fgColor rgb="FFD1CED8"/>
        <bgColor indexed="64"/>
      </patternFill>
    </fill>
    <fill>
      <patternFill patternType="solid">
        <fgColor rgb="FFE9E8ED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 wrapText="1" readingOrder="1"/>
    </xf>
    <xf numFmtId="0" fontId="1" fillId="0" borderId="0" xfId="0" applyFon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EEBFF9-44C9-458A-8DBE-4A33774E6D4A}" name="Tabel3" displayName="Tabel3" ref="A1:I118" totalsRowShown="0" headerRowDxfId="1">
  <autoFilter ref="A1:I118" xr:uid="{7DEEBFF9-44C9-458A-8DBE-4A33774E6D4A}"/>
  <tableColumns count="9">
    <tableColumn id="1" xr3:uid="{C5D305B2-5C29-4EE6-B5C4-78246B53B0FF}" name="Titel" dataDxfId="0"/>
    <tableColumn id="2" xr3:uid="{665A54DC-4297-4CF7-86FA-5B49749363C8}" name="Inaktiveret">
      <calculatedColumnFormula>"Nej"</calculatedColumnFormula>
    </tableColumn>
    <tableColumn id="3" xr3:uid="{2C205B2E-DF98-47CE-BFCB-007FDA9F18A3}" name="Beskrivelse"/>
    <tableColumn id="4" xr3:uid="{0AF1C463-6EEA-472F-ACB4-6F6F44106F75}" name="Hændelsestype"/>
    <tableColumn id="5" xr3:uid="{5E3328C2-0D04-4924-B893-D9A6320188CA}" name="Opgavetype"/>
    <tableColumn id="6" xr3:uid="{461B66A6-50C0-42AF-A66B-421F1D7126DB}" name="Opfølgningsopgavetype"/>
    <tableColumn id="7" xr3:uid="{3ED846EF-D283-40B0-81B1-6DC1C5BE920D}" name="Forfaldsfrist"/>
    <tableColumn id="8" xr3:uid="{20FEEB4B-1BBA-497E-9AA5-46DDEBFB73AF}" name="Opsplitning af opfølgningsopgave">
      <calculatedColumnFormula>" "</calculatedColumnFormula>
    </tableColumn>
    <tableColumn id="9" xr3:uid="{C0C1EF07-1FC4-4826-B7B8-4DF9EEB02B5D}" name="Sagtyper til opsplitning">
      <calculatedColumnFormula>" "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C6E9-798E-48D7-A6BB-DF7974B81EBB}">
  <dimension ref="A1:N14"/>
  <sheetViews>
    <sheetView tabSelected="1" workbookViewId="0">
      <selection activeCell="B4" sqref="B4"/>
    </sheetView>
  </sheetViews>
  <sheetFormatPr defaultColWidth="15.85546875" defaultRowHeight="15" x14ac:dyDescent="0.25"/>
  <sheetData>
    <row r="1" spans="1:14" ht="24" thickTop="1" thickBot="1" x14ac:dyDescent="0.3">
      <c r="A1" s="1" t="s">
        <v>0</v>
      </c>
      <c r="B1" s="3" t="s">
        <v>13</v>
      </c>
      <c r="C1" s="5" t="s">
        <v>25</v>
      </c>
      <c r="D1" s="5" t="s">
        <v>32</v>
      </c>
      <c r="E1" s="5" t="s">
        <v>40</v>
      </c>
      <c r="F1" s="5" t="s">
        <v>41</v>
      </c>
      <c r="G1" s="5" t="s">
        <v>42</v>
      </c>
      <c r="H1" s="5" t="s">
        <v>47</v>
      </c>
      <c r="I1" s="5" t="s">
        <v>48</v>
      </c>
      <c r="J1" s="5" t="s">
        <v>52</v>
      </c>
      <c r="K1" s="5" t="s">
        <v>55</v>
      </c>
      <c r="L1" s="5" t="s">
        <v>57</v>
      </c>
      <c r="M1" s="5" t="s">
        <v>13</v>
      </c>
      <c r="N1" s="5" t="s">
        <v>59</v>
      </c>
    </row>
    <row r="2" spans="1:14" ht="69" thickTop="1" thickBot="1" x14ac:dyDescent="0.4">
      <c r="A2" s="2" t="s">
        <v>1</v>
      </c>
      <c r="B2" s="4" t="s">
        <v>14</v>
      </c>
      <c r="C2" s="6"/>
      <c r="D2" s="8"/>
      <c r="E2" s="6"/>
      <c r="F2" s="8"/>
      <c r="G2" s="6"/>
      <c r="H2" s="8"/>
      <c r="I2" s="6"/>
      <c r="J2" s="8"/>
      <c r="K2" s="7" t="s">
        <v>1</v>
      </c>
      <c r="L2" s="9" t="s">
        <v>54</v>
      </c>
      <c r="M2" s="6"/>
      <c r="N2" s="9" t="s">
        <v>60</v>
      </c>
    </row>
    <row r="3" spans="1:14" ht="16.5" thickTop="1" thickBot="1" x14ac:dyDescent="0.3">
      <c r="A3" s="2" t="s">
        <v>2</v>
      </c>
      <c r="B3" s="4"/>
      <c r="C3" s="7"/>
      <c r="D3" s="9"/>
      <c r="E3" s="7"/>
      <c r="F3" s="9"/>
      <c r="G3" s="7"/>
      <c r="H3" s="9"/>
      <c r="I3" s="7"/>
      <c r="J3" s="9"/>
      <c r="K3" s="7"/>
      <c r="L3" s="9"/>
      <c r="M3" s="7"/>
      <c r="N3" s="9"/>
    </row>
    <row r="4" spans="1:14" ht="192.75" thickTop="1" thickBot="1" x14ac:dyDescent="0.4">
      <c r="A4" s="2" t="s">
        <v>3</v>
      </c>
      <c r="B4" s="4" t="s">
        <v>15</v>
      </c>
      <c r="C4" s="7" t="s">
        <v>26</v>
      </c>
      <c r="D4" s="8"/>
      <c r="E4" s="6"/>
      <c r="F4" s="8"/>
      <c r="G4" s="7" t="s">
        <v>43</v>
      </c>
      <c r="H4" s="8"/>
      <c r="I4" s="7" t="s">
        <v>49</v>
      </c>
      <c r="J4" s="9" t="s">
        <v>53</v>
      </c>
      <c r="K4" s="7" t="s">
        <v>56</v>
      </c>
      <c r="L4" s="9" t="s">
        <v>58</v>
      </c>
      <c r="M4" s="6"/>
      <c r="N4" s="9" t="s">
        <v>61</v>
      </c>
    </row>
    <row r="5" spans="1:14" ht="35.25" thickTop="1" thickBot="1" x14ac:dyDescent="0.4">
      <c r="A5" s="2" t="s">
        <v>4</v>
      </c>
      <c r="B5" s="4" t="s">
        <v>16</v>
      </c>
      <c r="C5" s="7" t="s">
        <v>27</v>
      </c>
      <c r="D5" s="9"/>
      <c r="E5" s="7"/>
      <c r="F5" s="9"/>
      <c r="G5" s="6"/>
      <c r="H5" s="9"/>
      <c r="I5" s="6"/>
      <c r="J5" s="8"/>
      <c r="K5" s="6"/>
      <c r="L5" s="9" t="s">
        <v>54</v>
      </c>
      <c r="M5" s="7"/>
      <c r="N5" s="9" t="s">
        <v>62</v>
      </c>
    </row>
    <row r="6" spans="1:14" ht="181.5" thickTop="1" thickBot="1" x14ac:dyDescent="0.3">
      <c r="A6" s="2" t="s">
        <v>5</v>
      </c>
      <c r="B6" s="4" t="s">
        <v>17</v>
      </c>
      <c r="C6" s="7" t="s">
        <v>28</v>
      </c>
      <c r="D6" s="9" t="s">
        <v>33</v>
      </c>
      <c r="E6" s="7"/>
      <c r="F6" s="9"/>
      <c r="G6" s="7" t="s">
        <v>44</v>
      </c>
      <c r="H6" s="9"/>
      <c r="I6" s="7" t="s">
        <v>50</v>
      </c>
      <c r="J6" s="9" t="s">
        <v>54</v>
      </c>
      <c r="K6" s="7" t="s">
        <v>56</v>
      </c>
      <c r="L6" s="9" t="s">
        <v>54</v>
      </c>
      <c r="M6" s="7"/>
      <c r="N6" s="9" t="s">
        <v>62</v>
      </c>
    </row>
    <row r="7" spans="1:14" ht="181.5" thickTop="1" thickBot="1" x14ac:dyDescent="0.3">
      <c r="A7" s="2" t="s">
        <v>6</v>
      </c>
      <c r="B7" s="4" t="s">
        <v>18</v>
      </c>
      <c r="C7" s="7" t="s">
        <v>29</v>
      </c>
      <c r="D7" s="9" t="s">
        <v>34</v>
      </c>
      <c r="E7" s="7"/>
      <c r="F7" s="9"/>
      <c r="G7" s="7" t="s">
        <v>45</v>
      </c>
      <c r="H7" s="9"/>
      <c r="I7" s="7" t="s">
        <v>51</v>
      </c>
      <c r="J7" s="9" t="s">
        <v>54</v>
      </c>
      <c r="K7" s="7" t="s">
        <v>56</v>
      </c>
      <c r="L7" s="9" t="s">
        <v>58</v>
      </c>
      <c r="M7" s="7"/>
      <c r="N7" s="9" t="s">
        <v>62</v>
      </c>
    </row>
    <row r="8" spans="1:14" ht="35.25" thickTop="1" thickBot="1" x14ac:dyDescent="0.4">
      <c r="A8" s="2" t="s">
        <v>7</v>
      </c>
      <c r="B8" s="4" t="s">
        <v>19</v>
      </c>
      <c r="C8" s="7" t="s">
        <v>30</v>
      </c>
      <c r="D8" s="8"/>
      <c r="E8" s="7"/>
      <c r="F8" s="9"/>
      <c r="G8" s="6"/>
      <c r="H8" s="9"/>
      <c r="I8" s="7"/>
      <c r="J8" s="8"/>
      <c r="K8" s="7" t="s">
        <v>7</v>
      </c>
      <c r="L8" s="9" t="s">
        <v>54</v>
      </c>
      <c r="M8" s="7"/>
      <c r="N8" s="9" t="s">
        <v>62</v>
      </c>
    </row>
    <row r="9" spans="1:14" ht="57.75" thickTop="1" thickBot="1" x14ac:dyDescent="0.4">
      <c r="A9" s="2" t="s">
        <v>8</v>
      </c>
      <c r="B9" s="4" t="s">
        <v>20</v>
      </c>
      <c r="C9" s="7" t="s">
        <v>31</v>
      </c>
      <c r="D9" s="9" t="s">
        <v>35</v>
      </c>
      <c r="E9" s="7"/>
      <c r="F9" s="9"/>
      <c r="G9" s="7"/>
      <c r="H9" s="9"/>
      <c r="I9" s="7"/>
      <c r="J9" s="9"/>
      <c r="K9" s="6"/>
      <c r="L9" s="9" t="s">
        <v>54</v>
      </c>
      <c r="M9" s="7"/>
      <c r="N9" s="9" t="s">
        <v>62</v>
      </c>
    </row>
    <row r="10" spans="1:14" ht="24" thickTop="1" thickBot="1" x14ac:dyDescent="0.3">
      <c r="A10" s="2" t="s">
        <v>9</v>
      </c>
      <c r="B10" s="4" t="s">
        <v>21</v>
      </c>
      <c r="C10" s="7" t="s">
        <v>31</v>
      </c>
      <c r="D10" s="9" t="s">
        <v>36</v>
      </c>
      <c r="E10" s="7"/>
      <c r="F10" s="9"/>
      <c r="G10" s="7"/>
      <c r="H10" s="9"/>
      <c r="I10" s="7"/>
      <c r="J10" s="9"/>
      <c r="K10" s="7"/>
      <c r="L10" s="9" t="s">
        <v>54</v>
      </c>
      <c r="M10" s="7"/>
      <c r="N10" s="9" t="s">
        <v>62</v>
      </c>
    </row>
    <row r="11" spans="1:14" ht="170.25" thickTop="1" thickBot="1" x14ac:dyDescent="0.3">
      <c r="A11" s="2" t="s">
        <v>10</v>
      </c>
      <c r="B11" s="4" t="s">
        <v>22</v>
      </c>
      <c r="C11" s="7" t="s">
        <v>31</v>
      </c>
      <c r="D11" s="9" t="s">
        <v>37</v>
      </c>
      <c r="E11" s="7"/>
      <c r="F11" s="9"/>
      <c r="G11" s="7"/>
      <c r="H11" s="9"/>
      <c r="I11" s="7"/>
      <c r="J11" s="9"/>
      <c r="K11" s="7"/>
      <c r="L11" s="9" t="s">
        <v>54</v>
      </c>
      <c r="M11" s="7"/>
      <c r="N11" s="9" t="s">
        <v>62</v>
      </c>
    </row>
    <row r="12" spans="1:14" ht="57.75" thickTop="1" thickBot="1" x14ac:dyDescent="0.3">
      <c r="A12" s="2" t="s">
        <v>11</v>
      </c>
      <c r="B12" s="4" t="s">
        <v>23</v>
      </c>
      <c r="C12" s="7" t="s">
        <v>31</v>
      </c>
      <c r="D12" s="9" t="s">
        <v>38</v>
      </c>
      <c r="E12" s="7"/>
      <c r="F12" s="9"/>
      <c r="G12" s="7"/>
      <c r="H12" s="9"/>
      <c r="I12" s="7"/>
      <c r="J12" s="9" t="s">
        <v>54</v>
      </c>
      <c r="K12" s="7"/>
      <c r="L12" s="9" t="s">
        <v>58</v>
      </c>
      <c r="M12" s="7"/>
      <c r="N12" s="9" t="s">
        <v>62</v>
      </c>
    </row>
    <row r="13" spans="1:14" ht="181.5" thickTop="1" thickBot="1" x14ac:dyDescent="0.4">
      <c r="A13" s="2" t="s">
        <v>12</v>
      </c>
      <c r="B13" s="4" t="s">
        <v>24</v>
      </c>
      <c r="C13" s="7" t="s">
        <v>31</v>
      </c>
      <c r="D13" s="9" t="s">
        <v>39</v>
      </c>
      <c r="E13" s="7"/>
      <c r="F13" s="9"/>
      <c r="G13" s="7" t="s">
        <v>46</v>
      </c>
      <c r="H13" s="9"/>
      <c r="I13" s="7" t="s">
        <v>51</v>
      </c>
      <c r="J13" s="8"/>
      <c r="K13" s="7" t="s">
        <v>56</v>
      </c>
      <c r="L13" s="9" t="s">
        <v>54</v>
      </c>
      <c r="M13" s="7"/>
      <c r="N13" s="9" t="s">
        <v>62</v>
      </c>
    </row>
    <row r="1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0092-4BA6-472B-BCB0-FA6A386763B3}">
  <dimension ref="A1:I118"/>
  <sheetViews>
    <sheetView workbookViewId="0">
      <selection activeCell="C16" sqref="C16"/>
    </sheetView>
  </sheetViews>
  <sheetFormatPr defaultRowHeight="15" x14ac:dyDescent="0.25"/>
  <cols>
    <col min="1" max="1" width="75.5703125" bestFit="1" customWidth="1"/>
    <col min="2" max="2" width="12.85546875" customWidth="1"/>
    <col min="3" max="3" width="100.7109375" bestFit="1" customWidth="1"/>
    <col min="4" max="4" width="64.85546875" bestFit="1" customWidth="1"/>
    <col min="5" max="5" width="43" bestFit="1" customWidth="1"/>
    <col min="6" max="6" width="100.5703125" bestFit="1" customWidth="1"/>
    <col min="7" max="7" width="13.85546875" customWidth="1"/>
    <col min="8" max="8" width="32.85546875" customWidth="1"/>
    <col min="9" max="9" width="23.5703125" customWidth="1"/>
  </cols>
  <sheetData>
    <row r="1" spans="1:9" x14ac:dyDescent="0.25">
      <c r="A1" s="10" t="s">
        <v>0</v>
      </c>
      <c r="B1" s="10" t="s">
        <v>63</v>
      </c>
      <c r="C1" s="10" t="s">
        <v>13</v>
      </c>
      <c r="D1" s="10" t="s">
        <v>64</v>
      </c>
      <c r="E1" s="10" t="s">
        <v>25</v>
      </c>
      <c r="F1" s="10" t="s">
        <v>32</v>
      </c>
      <c r="G1" s="10" t="s">
        <v>65</v>
      </c>
      <c r="H1" s="10" t="s">
        <v>66</v>
      </c>
      <c r="I1" s="10" t="s">
        <v>67</v>
      </c>
    </row>
    <row r="2" spans="1:9" x14ac:dyDescent="0.25">
      <c r="A2" s="10" t="str">
        <f>"Borger registreret som formodet død"</f>
        <v>Borger registreret som formodet død</v>
      </c>
      <c r="B2" t="str">
        <f>" "</f>
        <v xml:space="preserve"> </v>
      </c>
      <c r="C2" t="str">
        <f>"Borger registreret som formodet død"</f>
        <v>Borger registreret som formodet død</v>
      </c>
      <c r="D2" t="str">
        <f>"PROC_DOEDSPROCES"</f>
        <v>PROC_DOEDSPROCES</v>
      </c>
      <c r="E2" t="str">
        <f>"DOEDSPROCES"</f>
        <v>DOEDSPROCES</v>
      </c>
      <c r="F2" t="str">
        <f>" "</f>
        <v xml:space="preserve"> </v>
      </c>
      <c r="G2" t="str">
        <f>" "</f>
        <v xml:space="preserve"> </v>
      </c>
      <c r="H2" t="str">
        <f>" "</f>
        <v xml:space="preserve"> </v>
      </c>
      <c r="I2" t="str">
        <f>" "</f>
        <v xml:space="preserve"> </v>
      </c>
    </row>
    <row r="3" spans="1:9" x14ac:dyDescent="0.25">
      <c r="A3" s="10" t="str">
        <f>"Håndter opfølgningsopgave for cpr_doedsfald_anullering"</f>
        <v>Håndter opfølgningsopgave for cpr_doedsfald_anullering</v>
      </c>
      <c r="B3" t="str">
        <f>" "</f>
        <v xml:space="preserve"> </v>
      </c>
      <c r="C3" t="str">
        <f>"Start af håndter opfølgningsopgave process for cpr_doedsfald_anullering"</f>
        <v>Start af håndter opfølgningsopgave process for cpr_doedsfald_anullering</v>
      </c>
      <c r="D3" t="str">
        <f>"PROC_OP_CPR_DOEDSFALD_ANNULLERING"</f>
        <v>PROC_OP_CPR_DOEDSFALD_ANNULLERING</v>
      </c>
      <c r="E3" t="str">
        <f>"HAANDTER_OPFOELGNINGSOPGAVE"</f>
        <v>HAANDTER_OPFOELGNINGSOPGAVE</v>
      </c>
      <c r="F3" t="str">
        <f>"Dødsfald er annulleret i CPR"</f>
        <v>Dødsfald er annulleret i CPR</v>
      </c>
      <c r="G3" t="str">
        <f>"0"</f>
        <v>0</v>
      </c>
      <c r="H3" t="str">
        <f>" "</f>
        <v xml:space="preserve"> </v>
      </c>
      <c r="I3" t="str">
        <f>" "</f>
        <v xml:space="preserve"> </v>
      </c>
    </row>
    <row r="4" spans="1:9" x14ac:dyDescent="0.25">
      <c r="A4" s="10" t="str">
        <f>"Håndter opfølgningsopgave for cpr_genfundet"</f>
        <v>Håndter opfølgningsopgave for cpr_genfundet</v>
      </c>
      <c r="B4" t="str">
        <f>" "</f>
        <v xml:space="preserve"> </v>
      </c>
      <c r="C4" t="str">
        <f>"Start af håndter opfølgningsopgave process for cpr_genfundet"</f>
        <v>Start af håndter opfølgningsopgave process for cpr_genfundet</v>
      </c>
      <c r="D4" t="str">
        <f>"PROC_OP_CPR_GENFUNDET"</f>
        <v>PROC_OP_CPR_GENFUNDET</v>
      </c>
      <c r="E4" t="str">
        <f>"HAANDTER_OPFOELGNINGSOPGAVE"</f>
        <v>HAANDTER_OPFOELGNINGSOPGAVE</v>
      </c>
      <c r="F4" t="str">
        <f>"Borger genfundet"</f>
        <v>Borger genfundet</v>
      </c>
      <c r="G4" t="str">
        <f>"0"</f>
        <v>0</v>
      </c>
      <c r="H4" t="str">
        <f>" "</f>
        <v xml:space="preserve"> </v>
      </c>
      <c r="I4" t="str">
        <f>" "</f>
        <v xml:space="preserve"> </v>
      </c>
    </row>
    <row r="5" spans="1:9" x14ac:dyDescent="0.25">
      <c r="A5" s="10" t="str">
        <f>"Håndter opfølgningsopgave for cpr_geninvandring"</f>
        <v>Håndter opfølgningsopgave for cpr_geninvandring</v>
      </c>
      <c r="B5" t="str">
        <f>" "</f>
        <v xml:space="preserve"> </v>
      </c>
      <c r="C5" t="str">
        <f>"Start af håndter opfølgningsopgave process for cpr_geninvandring"</f>
        <v>Start af håndter opfølgningsopgave process for cpr_geninvandring</v>
      </c>
      <c r="D5" t="str">
        <f>"PROC_OP_CPR_GENINVANDRING"</f>
        <v>PROC_OP_CPR_GENINVANDRING</v>
      </c>
      <c r="E5" t="str">
        <f>"HAANDTER_OPFOELGNINGSOPGAVE"</f>
        <v>HAANDTER_OPFOELGNINGSOPGAVE</v>
      </c>
      <c r="F5" t="str">
        <f>"Borger genindvandret"</f>
        <v>Borger genindvandret</v>
      </c>
      <c r="G5" t="str">
        <f>"0"</f>
        <v>0</v>
      </c>
      <c r="H5" t="str">
        <f>" "</f>
        <v xml:space="preserve"> </v>
      </c>
      <c r="I5" t="str">
        <f>" "</f>
        <v xml:space="preserve"> </v>
      </c>
    </row>
    <row r="6" spans="1:9" x14ac:dyDescent="0.25">
      <c r="A6" s="10" t="str">
        <f>"Håndter opfølgningsopgave for cpr_personnummer_omnumering"</f>
        <v>Håndter opfølgningsopgave for cpr_personnummer_omnumering</v>
      </c>
      <c r="B6" t="str">
        <f>" "</f>
        <v xml:space="preserve"> </v>
      </c>
      <c r="C6" t="str">
        <f>"Start af håndter opfølgningsopgave process for cpr_personnummer_omnumering"</f>
        <v>Start af håndter opfølgningsopgave process for cpr_personnummer_omnumering</v>
      </c>
      <c r="D6" t="str">
        <f>"PROC_OP_CPR_PERSONNUMMER_OMNUMMERING"</f>
        <v>PROC_OP_CPR_PERSONNUMMER_OMNUMMERING</v>
      </c>
      <c r="E6" t="str">
        <f>"HAANDTER_OPFOELGNINGSOPGAVE"</f>
        <v>HAANDTER_OPFOELGNINGSOPGAVE</v>
      </c>
      <c r="F6" t="str">
        <f>"CPR nr. omnummering"</f>
        <v>CPR nr. omnummering</v>
      </c>
      <c r="G6" t="str">
        <f>"0"</f>
        <v>0</v>
      </c>
      <c r="H6" t="str">
        <f>" "</f>
        <v xml:space="preserve"> </v>
      </c>
      <c r="I6" t="str">
        <f>" "</f>
        <v xml:space="preserve"> </v>
      </c>
    </row>
    <row r="7" spans="1:9" x14ac:dyDescent="0.25">
      <c r="A7" s="10" t="str">
        <f>"Håndter opfølgningsopgave for cpr_umyndig"</f>
        <v>Håndter opfølgningsopgave for cpr_umyndig</v>
      </c>
      <c r="B7" t="str">
        <f>" "</f>
        <v xml:space="preserve"> </v>
      </c>
      <c r="C7" t="str">
        <f>"Start af håndter opfølgningsopgave process for cpr_umyndig"</f>
        <v>Start af håndter opfølgningsopgave process for cpr_umyndig</v>
      </c>
      <c r="D7" t="str">
        <f>"PROC_OP_CPR_UMYNDIG"</f>
        <v>PROC_OP_CPR_UMYNDIG</v>
      </c>
      <c r="E7" t="str">
        <f>"HAANDTER_OPFOELGNINGSOPGAVE"</f>
        <v>HAANDTER_OPFOELGNINGSOPGAVE</v>
      </c>
      <c r="F7" t="str">
        <f>"Borger er umyndiggjort"</f>
        <v>Borger er umyndiggjort</v>
      </c>
      <c r="G7" t="str">
        <f>"0"</f>
        <v>0</v>
      </c>
      <c r="H7" t="str">
        <f>" "</f>
        <v xml:space="preserve"> </v>
      </c>
      <c r="I7" t="str">
        <f>" "</f>
        <v xml:space="preserve"> </v>
      </c>
    </row>
    <row r="8" spans="1:9" x14ac:dyDescent="0.25">
      <c r="A8" s="10" t="str">
        <f>"Håndter opfølgningsopgave for revurder-efter-faengsling"</f>
        <v>Håndter opfølgningsopgave for revurder-efter-faengsling</v>
      </c>
      <c r="B8" t="str">
        <f>" "</f>
        <v xml:space="preserve"> </v>
      </c>
      <c r="C8" t="str">
        <f>"Start af håndter opfølgningsopgave process for revurder-efter-faengsling"</f>
        <v>Start af håndter opfølgningsopgave process for revurder-efter-faengsling</v>
      </c>
      <c r="D8" t="str">
        <f>"PROC_OP_REVURDER_EFTER_FAENGSLING"</f>
        <v>PROC_OP_REVURDER_EFTER_FAENGSLING</v>
      </c>
      <c r="E8" t="str">
        <f>"HAANDTER_OPFOELGNINGSOPGAVE"</f>
        <v>HAANDTER_OPFOELGNINGSOPGAVE</v>
      </c>
      <c r="F8" t="str">
        <f>"Revurder ydelser efter løsladelse"</f>
        <v>Revurder ydelser efter løsladelse</v>
      </c>
      <c r="G8" t="str">
        <f>"0"</f>
        <v>0</v>
      </c>
      <c r="H8" t="str">
        <f>" "</f>
        <v xml:space="preserve"> </v>
      </c>
      <c r="I8" t="str">
        <f>" "</f>
        <v xml:space="preserve"> </v>
      </c>
    </row>
    <row r="9" spans="1:9" x14ac:dyDescent="0.25">
      <c r="A9" s="10" t="str">
        <f>"""Saml sag"" opgave påbegyndt"</f>
        <v>"Saml sag" opgave påbegyndt</v>
      </c>
      <c r="B9" t="str">
        <f>" "</f>
        <v xml:space="preserve"> </v>
      </c>
      <c r="C9" t="str">
        <f>"En opgave af typen ""Saml sag"" er startet fra handlings-dropdown"</f>
        <v>En opgave af typen "Saml sag" er startet fra handlings-dropdown</v>
      </c>
      <c r="D9" t="str">
        <f>"HD_SAML_SAG"</f>
        <v>HD_SAML_SAG</v>
      </c>
      <c r="E9" t="str">
        <f>"SAML_SAG"</f>
        <v>SAML_SAG</v>
      </c>
      <c r="F9" t="str">
        <f>" "</f>
        <v xml:space="preserve"> </v>
      </c>
      <c r="G9" t="str">
        <f>" "</f>
        <v xml:space="preserve"> </v>
      </c>
      <c r="H9" t="str">
        <f>" "</f>
        <v xml:space="preserve"> </v>
      </c>
      <c r="I9" t="str">
        <f>" "</f>
        <v xml:space="preserve"> </v>
      </c>
    </row>
    <row r="10" spans="1:9" x14ac:dyDescent="0.25">
      <c r="A10" s="10" t="str">
        <f>"Start stop sag process fra proces"</f>
        <v>Start stop sag process fra proces</v>
      </c>
      <c r="B10" t="str">
        <f>" "</f>
        <v xml:space="preserve"> </v>
      </c>
      <c r="C10" t="str">
        <f>"Start stop sag process fra proces"</f>
        <v>Start stop sag process fra proces</v>
      </c>
      <c r="D10" t="str">
        <f>"PROC_STOP_SAG"</f>
        <v>PROC_STOP_SAG</v>
      </c>
      <c r="E10" t="str">
        <f>"STOP_SAG"</f>
        <v>STOP_SAG</v>
      </c>
      <c r="F10" t="str">
        <f>" "</f>
        <v xml:space="preserve"> </v>
      </c>
      <c r="G10" t="str">
        <f>" "</f>
        <v xml:space="preserve"> </v>
      </c>
      <c r="H10" t="str">
        <f>" "</f>
        <v xml:space="preserve"> </v>
      </c>
      <c r="I10" t="str">
        <f>" "</f>
        <v xml:space="preserve"> </v>
      </c>
    </row>
    <row r="11" spans="1:9" x14ac:dyDescent="0.25">
      <c r="A11" s="10" t="str">
        <f>"Send brev"</f>
        <v>Send brev</v>
      </c>
      <c r="B11" t="str">
        <f>" "</f>
        <v xml:space="preserve"> </v>
      </c>
      <c r="C11" t="str">
        <f>"Start af send brev process"</f>
        <v>Start af send brev process</v>
      </c>
      <c r="D11" t="str">
        <f>"PROC_SEND_BREV_HELBREDSKORT"</f>
        <v>PROC_SEND_BREV_HELBREDSKORT</v>
      </c>
      <c r="E11" t="str">
        <f>"SEND_BREV"</f>
        <v>SEND_BREV</v>
      </c>
      <c r="F11" t="str">
        <f>" "</f>
        <v xml:space="preserve"> </v>
      </c>
      <c r="G11" t="str">
        <f>"14"</f>
        <v>14</v>
      </c>
      <c r="H11" t="str">
        <f>" "</f>
        <v xml:space="preserve"> </v>
      </c>
      <c r="I11" t="str">
        <f>" "</f>
        <v xml:space="preserve"> </v>
      </c>
    </row>
    <row r="12" spans="1:9" x14ac:dyDescent="0.25">
      <c r="A12" s="10" t="str">
        <f>"Beregn Boligudgifter"</f>
        <v>Beregn Boligudgifter</v>
      </c>
      <c r="B12" t="str">
        <f>"Ja"</f>
        <v>Ja</v>
      </c>
      <c r="C12" t="str">
        <f>"Beregn Boligudgifter"</f>
        <v>Beregn Boligudgifter</v>
      </c>
      <c r="D12" t="str">
        <f>"HD_BEREGN_BOLIGUDGIFTER"</f>
        <v>HD_BEREGN_BOLIGUDGIFTER</v>
      </c>
      <c r="E12" t="str">
        <f>"BEREGN_BOLIGUDGIFTER"</f>
        <v>BEREGN_BOLIGUDGIFTER</v>
      </c>
      <c r="F12" t="str">
        <f>" "</f>
        <v xml:space="preserve"> </v>
      </c>
      <c r="G12" t="str">
        <f>" "</f>
        <v xml:space="preserve"> </v>
      </c>
      <c r="H12" t="str">
        <f>"Nej"</f>
        <v>Nej</v>
      </c>
      <c r="I12" t="str">
        <f>" "</f>
        <v xml:space="preserve"> </v>
      </c>
    </row>
    <row r="13" spans="1:9" x14ac:dyDescent="0.25">
      <c r="A13" s="10" t="str">
        <f>"Uventede administrationsændringer i UDK Pension"</f>
        <v>Uventede administrationsændringer i UDK Pension</v>
      </c>
      <c r="B13" t="str">
        <f>"Nej"</f>
        <v>Nej</v>
      </c>
      <c r="C13" t="str">
        <f>"Uventede administrationsændringer i UDK Pension"</f>
        <v>Uventede administrationsændringer i UDK Pension</v>
      </c>
      <c r="D13" t="str">
        <f>"PROC_OP_ADMINISTRATION"</f>
        <v>PROC_OP_ADMINISTRATION</v>
      </c>
      <c r="E13" t="str">
        <f>"HAANDTER_OPFOELGNINGSOPGAVE"</f>
        <v>HAANDTER_OPFOELGNINGSOPGAVE</v>
      </c>
      <c r="F13" t="str">
        <f>"Uventede administrationsændringer i UDK Pension"</f>
        <v>Uventede administrationsændringer i UDK Pension</v>
      </c>
      <c r="G13" t="str">
        <f>"0"</f>
        <v>0</v>
      </c>
      <c r="H13" t="str">
        <f>"Nej"</f>
        <v>Nej</v>
      </c>
      <c r="I13" t="str">
        <f>" "</f>
        <v xml:space="preserve"> </v>
      </c>
    </row>
    <row r="14" spans="1:9" x14ac:dyDescent="0.25">
      <c r="A14" s="10" t="str">
        <f>"Fraflytning"</f>
        <v>Fraflytning</v>
      </c>
      <c r="B14" t="str">
        <f>"Nej"</f>
        <v>Nej</v>
      </c>
      <c r="C14" t="str">
        <f>"Fraflytningsproces"</f>
        <v>Fraflytningsproces</v>
      </c>
      <c r="D14" t="str">
        <f>"INT_FRAFLYTNING"</f>
        <v>INT_FRAFLYTNING</v>
      </c>
      <c r="E14" t="str">
        <f>"FRAFLYTNING"</f>
        <v>FRAFLYTNING</v>
      </c>
      <c r="F14" t="str">
        <f>" "</f>
        <v xml:space="preserve"> </v>
      </c>
      <c r="G14" t="str">
        <f>" "</f>
        <v xml:space="preserve"> </v>
      </c>
      <c r="H14" t="str">
        <f>"Nej"</f>
        <v>Nej</v>
      </c>
      <c r="I14" t="str">
        <f>" "</f>
        <v xml:space="preserve"> </v>
      </c>
    </row>
    <row r="15" spans="1:9" x14ac:dyDescent="0.25">
      <c r="A15" s="10" t="str">
        <f>"Håndter opfølgningsopgave for borger-doed-skifteret"</f>
        <v>Håndter opfølgningsopgave for borger-doed-skifteret</v>
      </c>
      <c r="B15" t="str">
        <f>"Nej"</f>
        <v>Nej</v>
      </c>
      <c r="C15" t="str">
        <f>"Start af håndter opfølgningsopgave process for borger-doed-skifteret"</f>
        <v>Start af håndter opfølgningsopgave process for borger-doed-skifteret</v>
      </c>
      <c r="D15" t="str">
        <f>"PROC_OP_BORGER_DOED_SKIFTERET"</f>
        <v>PROC_OP_BORGER_DOED_SKIFTERET</v>
      </c>
      <c r="E15" t="str">
        <f>"HAANDTER_OPFOELGNINGSOPGAVE"</f>
        <v>HAANDTER_OPFOELGNINGSOPGAVE</v>
      </c>
      <c r="F15" t="str">
        <f>"Opgørelse til skifteret"</f>
        <v>Opgørelse til skifteret</v>
      </c>
      <c r="G15" t="str">
        <f>"0"</f>
        <v>0</v>
      </c>
      <c r="H15" t="str">
        <f>"Nej"</f>
        <v>Nej</v>
      </c>
      <c r="I15" t="str">
        <f>" "</f>
        <v xml:space="preserve"> </v>
      </c>
    </row>
    <row r="16" spans="1:9" x14ac:dyDescent="0.25">
      <c r="A16" s="10" t="str">
        <f>"Håndter opfølgningsopgave for cpr_navn_aendring"</f>
        <v>Håndter opfølgningsopgave for cpr_navn_aendring</v>
      </c>
      <c r="B16" t="str">
        <f>"Nej"</f>
        <v>Nej</v>
      </c>
      <c r="C16" t="str">
        <f>"Start af håndter opfølgningsopgave process for cpr_navn_aendring"</f>
        <v>Start af håndter opfølgningsopgave process for cpr_navn_aendring</v>
      </c>
      <c r="D16" t="str">
        <f>"PROC_OP_CPR_NAVNEAENDRING"</f>
        <v>PROC_OP_CPR_NAVNEAENDRING</v>
      </c>
      <c r="E16" t="str">
        <f>"HAANDTER_OPFOELGNINGSOPGAVE"</f>
        <v>HAANDTER_OPFOELGNINGSOPGAVE</v>
      </c>
      <c r="F16" t="str">
        <f>" "</f>
        <v xml:space="preserve"> </v>
      </c>
      <c r="G16" t="str">
        <f>"0"</f>
        <v>0</v>
      </c>
      <c r="H16" t="str">
        <f>"Nej"</f>
        <v>Nej</v>
      </c>
      <c r="I16" t="str">
        <f>" "</f>
        <v xml:space="preserve"> </v>
      </c>
    </row>
    <row r="17" spans="1:9" x14ac:dyDescent="0.25">
      <c r="A17" s="10" t="str">
        <f>"Håndter opfølgningsopgave for maf-fin-kommune-skift-automatisk-bos"</f>
        <v>Håndter opfølgningsopgave for maf-fin-kommune-skift-automatisk-bos</v>
      </c>
      <c r="B17" t="str">
        <f>"Nej"</f>
        <v>Nej</v>
      </c>
      <c r="C17" t="str">
        <f>"Start af håndter opfølgningsopgave process for maf-fin-kommune-skift-automatisk-bos"</f>
        <v>Start af håndter opfølgningsopgave process for maf-fin-kommune-skift-automatisk-bos</v>
      </c>
      <c r="D17" t="str">
        <f>"PROC_OP_MAF_FIN_KOMMUNE_SKIFT_AUTOMATISK_BOS"</f>
        <v>PROC_OP_MAF_FIN_KOMMUNE_SKIFT_AUTOMATISK_BOS</v>
      </c>
      <c r="E17" t="str">
        <f>"HAANDTER_OPFOELGNINGSOPGAVE"</f>
        <v>HAANDTER_OPFOELGNINGSOPGAVE</v>
      </c>
      <c r="F17" t="str">
        <f>"Automatisk fastsættelse af finansieringskommune for boligstøtte"</f>
        <v>Automatisk fastsættelse af finansieringskommune for boligstøtte</v>
      </c>
      <c r="G17" t="str">
        <f>"0"</f>
        <v>0</v>
      </c>
      <c r="H17" t="str">
        <f>"Nej"</f>
        <v>Nej</v>
      </c>
      <c r="I17" t="str">
        <f>" "</f>
        <v xml:space="preserve"> </v>
      </c>
    </row>
    <row r="18" spans="1:9" x14ac:dyDescent="0.25">
      <c r="A18" s="10" t="str">
        <f>"Håndter opfølgningsopgave for maf-fin-kommune-skift-automatisk-foep"</f>
        <v>Håndter opfølgningsopgave for maf-fin-kommune-skift-automatisk-foep</v>
      </c>
      <c r="B18" t="str">
        <f>"Nej"</f>
        <v>Nej</v>
      </c>
      <c r="C18" t="str">
        <f>"Start af håndter opfølgningsopgave process for maf-fin-kommune-skift-automatisk-foep"</f>
        <v>Start af håndter opfølgningsopgave process for maf-fin-kommune-skift-automatisk-foep</v>
      </c>
      <c r="D18" t="str">
        <f>"PROC_OP_MAF_FIN_KOMMUNE_SKIFT_AUTOMATISK_FOEP"</f>
        <v>PROC_OP_MAF_FIN_KOMMUNE_SKIFT_AUTOMATISK_FOEP</v>
      </c>
      <c r="E18" t="str">
        <f>"HAANDTER_OPFOELGNINGSOPGAVE"</f>
        <v>HAANDTER_OPFOELGNINGSOPGAVE</v>
      </c>
      <c r="F18" t="str">
        <f>"Automatisk fastsættelse af finansieringskommune for pension"</f>
        <v>Automatisk fastsættelse af finansieringskommune for pension</v>
      </c>
      <c r="G18" t="str">
        <f>"0"</f>
        <v>0</v>
      </c>
      <c r="H18" t="str">
        <f>"Nej"</f>
        <v>Nej</v>
      </c>
      <c r="I18" t="str">
        <f>" "</f>
        <v xml:space="preserve"> </v>
      </c>
    </row>
    <row r="19" spans="1:9" x14ac:dyDescent="0.25">
      <c r="A19" s="10" t="str">
        <f>"Håndter opfølgningsopgave for udk_traekanmodning_svar_udestaar"</f>
        <v>Håndter opfølgningsopgave for udk_traekanmodning_svar_udestaar</v>
      </c>
      <c r="B19" t="str">
        <f>"Nej"</f>
        <v>Nej</v>
      </c>
      <c r="C19" t="str">
        <f>"Start af håndter opfølgningsopgave process for udk_traekanmodning_svar_udestaar"</f>
        <v>Start af håndter opfølgningsopgave process for udk_traekanmodning_svar_udestaar</v>
      </c>
      <c r="D19" t="str">
        <f>"PROC_OP_UDK_TRAEKANMODNING_SVAR_UDESTAAR"</f>
        <v>PROC_OP_UDK_TRAEKANMODNING_SVAR_UDESTAAR</v>
      </c>
      <c r="E19" t="str">
        <f>"HAANDTER_OPFOELGNINGSOPGAVE"</f>
        <v>HAANDTER_OPFOELGNINGSOPGAVE</v>
      </c>
      <c r="F19" t="str">
        <f>"Svar på UDK trækanmodning udestår"</f>
        <v>Svar på UDK trækanmodning udestår</v>
      </c>
      <c r="G19" t="str">
        <f>"0"</f>
        <v>0</v>
      </c>
      <c r="H19" t="str">
        <f>"Nej"</f>
        <v>Nej</v>
      </c>
      <c r="I19" t="str">
        <f>" "</f>
        <v xml:space="preserve"> </v>
      </c>
    </row>
    <row r="20" spans="1:9" x14ac:dyDescent="0.25">
      <c r="A20" s="10" t="str">
        <f>"Opret helbredskort som følge af flytning"</f>
        <v>Opret helbredskort som følge af flytning</v>
      </c>
      <c r="B20" t="str">
        <f>"Nej"</f>
        <v>Nej</v>
      </c>
      <c r="C20" t="str">
        <f>"Oprettelse af helbredskort som følge af tilflytning til kommunen"</f>
        <v>Oprettelse af helbredskort som følge af tilflytning til kommunen</v>
      </c>
      <c r="D20" t="str">
        <f>"PROC_OPRET_HELBREDSTILLAEGSSAG"</f>
        <v>PROC_OPRET_HELBREDSTILLAEGSSAG</v>
      </c>
      <c r="E20" t="str">
        <f>"OPRET_SAG"</f>
        <v>OPRET_SAG</v>
      </c>
      <c r="F20" t="str">
        <f>" "</f>
        <v xml:space="preserve"> </v>
      </c>
      <c r="G20" t="str">
        <f>" "</f>
        <v xml:space="preserve"> </v>
      </c>
      <c r="H20" t="str">
        <f>"Nej"</f>
        <v>Nej</v>
      </c>
      <c r="I20" t="str">
        <f>" "</f>
        <v xml:space="preserve"> </v>
      </c>
    </row>
    <row r="21" spans="1:9" x14ac:dyDescent="0.25">
      <c r="A21" s="10" t="str">
        <f>"Opret Journalnotat"</f>
        <v>Opret Journalnotat</v>
      </c>
      <c r="B21" t="str">
        <f>"Nej"</f>
        <v>Nej</v>
      </c>
      <c r="C21" t="str">
        <f>"Start af opret journalnotat proces"</f>
        <v>Start af opret journalnotat proces</v>
      </c>
      <c r="D21" t="str">
        <f>"HD_OPRET_JOURNALNOTAT"</f>
        <v>HD_OPRET_JOURNALNOTAT</v>
      </c>
      <c r="E21" t="str">
        <f>"OPRET_JOURNALNOTAT"</f>
        <v>OPRET_JOURNALNOTAT</v>
      </c>
      <c r="F21" t="str">
        <f>" "</f>
        <v xml:space="preserve"> </v>
      </c>
      <c r="G21" t="str">
        <f>"14"</f>
        <v>14</v>
      </c>
      <c r="H21" t="str">
        <f>"Nej"</f>
        <v>Nej</v>
      </c>
      <c r="I21" t="str">
        <f>" "</f>
        <v xml:space="preserve"> </v>
      </c>
    </row>
    <row r="22" spans="1:9" x14ac:dyDescent="0.25">
      <c r="A22" s="10" t="str">
        <f>"Opret opfølgningsopgave"</f>
        <v>Opret opfølgningsopgave</v>
      </c>
      <c r="B22" t="str">
        <f>"Nej"</f>
        <v>Nej</v>
      </c>
      <c r="C22" t="str">
        <f>"Start af opret opfølgningsopgave process"</f>
        <v>Start af opret opfølgningsopgave process</v>
      </c>
      <c r="D22" t="str">
        <f>"HD_OPRET_OPFOELGNINGSOPGAVE"</f>
        <v>HD_OPRET_OPFOELGNINGSOPGAVE</v>
      </c>
      <c r="E22" t="str">
        <f>"OPRET_OPFOELGNINGSOPGAVE"</f>
        <v>OPRET_OPFOELGNINGSOPGAVE</v>
      </c>
      <c r="F22" t="str">
        <f>" "</f>
        <v xml:space="preserve"> </v>
      </c>
      <c r="G22" t="str">
        <f>" "</f>
        <v xml:space="preserve"> </v>
      </c>
      <c r="H22" t="str">
        <f>"Nej"</f>
        <v>Nej</v>
      </c>
      <c r="I22" t="str">
        <f>" "</f>
        <v xml:space="preserve"> </v>
      </c>
    </row>
    <row r="23" spans="1:9" x14ac:dyDescent="0.25">
      <c r="A23" s="10" t="str">
        <f>"Rådighedsberegning"</f>
        <v>Rådighedsberegning</v>
      </c>
      <c r="B23" t="str">
        <f>"Nej"</f>
        <v>Nej</v>
      </c>
      <c r="C23" t="str">
        <f>"Start af rådighedsberegning process"</f>
        <v>Start af rådighedsberegning process</v>
      </c>
      <c r="D23" t="str">
        <f>"HD_RAADIGHEDSBEREGNING"</f>
        <v>HD_RAADIGHEDSBEREGNING</v>
      </c>
      <c r="E23" t="str">
        <f>"RAADIGHEDSBEREGNING"</f>
        <v>RAADIGHEDSBEREGNING</v>
      </c>
      <c r="F23" t="str">
        <f>" "</f>
        <v xml:space="preserve"> </v>
      </c>
      <c r="G23" t="str">
        <f>" "</f>
        <v xml:space="preserve"> </v>
      </c>
      <c r="H23" t="str">
        <f>"Nej"</f>
        <v>Nej</v>
      </c>
      <c r="I23" t="str">
        <f>" "</f>
        <v xml:space="preserve"> </v>
      </c>
    </row>
    <row r="24" spans="1:9" x14ac:dyDescent="0.25">
      <c r="A24" s="10" t="str">
        <f>"""Ret bevilling"" opgave påbegyndt"</f>
        <v>"Ret bevilling" opgave påbegyndt</v>
      </c>
      <c r="B24" t="str">
        <f>"Nej"</f>
        <v>Nej</v>
      </c>
      <c r="C24" t="str">
        <f>"En opgave af typen ""Ret bevilling"" er startet fra handlings-dropdown"</f>
        <v>En opgave af typen "Ret bevilling" er startet fra handlings-dropdown</v>
      </c>
      <c r="D24" t="str">
        <f>"HD_RET_SAG"</f>
        <v>HD_RET_SAG</v>
      </c>
      <c r="E24" t="str">
        <f>"RET_SAG"</f>
        <v>RET_SAG</v>
      </c>
      <c r="F24" t="str">
        <f>" "</f>
        <v xml:space="preserve"> </v>
      </c>
      <c r="G24" t="str">
        <f>" "</f>
        <v xml:space="preserve"> </v>
      </c>
      <c r="H24" t="str">
        <f>"Nej"</f>
        <v>Nej</v>
      </c>
      <c r="I24" t="str">
        <f>" "</f>
        <v xml:space="preserve"> </v>
      </c>
    </row>
    <row r="25" spans="1:9" x14ac:dyDescent="0.25">
      <c r="A25" s="10" t="str">
        <f>"Ret personoplysninger"</f>
        <v>Ret personoplysninger</v>
      </c>
      <c r="B25" t="str">
        <f>"Nej"</f>
        <v>Nej</v>
      </c>
      <c r="C25" t="str">
        <f>"Ret personoplysninger"</f>
        <v>Ret personoplysninger</v>
      </c>
      <c r="D25" t="str">
        <f>"HD_RET_PERSONOPLYSNINGER"</f>
        <v>HD_RET_PERSONOPLYSNINGER</v>
      </c>
      <c r="E25" t="str">
        <f>"RET_PERSONOPLYSNINGER"</f>
        <v>RET_PERSONOPLYSNINGER</v>
      </c>
      <c r="F25" t="str">
        <f>" "</f>
        <v xml:space="preserve"> </v>
      </c>
      <c r="G25" t="str">
        <f>" "</f>
        <v xml:space="preserve"> </v>
      </c>
      <c r="H25" t="str">
        <f>"Nej"</f>
        <v>Nej</v>
      </c>
      <c r="I25" t="str">
        <f>" "</f>
        <v xml:space="preserve"> </v>
      </c>
    </row>
    <row r="26" spans="1:9" x14ac:dyDescent="0.25">
      <c r="A26" s="10" t="str">
        <f>"Send brev"</f>
        <v>Send brev</v>
      </c>
      <c r="B26" t="str">
        <f>"Nej"</f>
        <v>Nej</v>
      </c>
      <c r="C26" t="str">
        <f>"Start af send brev process"</f>
        <v>Start af send brev process</v>
      </c>
      <c r="D26" t="str">
        <f>"BATCH_SENDBREV"</f>
        <v>BATCH_SENDBREV</v>
      </c>
      <c r="E26" t="str">
        <f>"SEND_BREV"</f>
        <v>SEND_BREV</v>
      </c>
      <c r="F26" t="str">
        <f>" "</f>
        <v xml:space="preserve"> </v>
      </c>
      <c r="G26" t="str">
        <f>"14"</f>
        <v>14</v>
      </c>
      <c r="H26" t="str">
        <f>"Nej"</f>
        <v>Nej</v>
      </c>
      <c r="I26" t="str">
        <f>" "</f>
        <v xml:space="preserve"> </v>
      </c>
    </row>
    <row r="27" spans="1:9" x14ac:dyDescent="0.25">
      <c r="A27" s="10" t="str">
        <f>"Send månedlig udbetalingsspecifikation"</f>
        <v>Send månedlig udbetalingsspecifikation</v>
      </c>
      <c r="B27" t="str">
        <f>"Nej"</f>
        <v>Nej</v>
      </c>
      <c r="C27" t="str">
        <f>"Start af send brev process"</f>
        <v>Start af send brev process</v>
      </c>
      <c r="D27" t="str">
        <f>"SEND_MAANEDLIG_UDBETALINGSPECIFIKATION"</f>
        <v>SEND_MAANEDLIG_UDBETALINGSPECIFIKATION</v>
      </c>
      <c r="E27" t="str">
        <f>"SEND_BREV"</f>
        <v>SEND_BREV</v>
      </c>
      <c r="F27" t="str">
        <f>" "</f>
        <v xml:space="preserve"> </v>
      </c>
      <c r="G27" t="str">
        <f>"14"</f>
        <v>14</v>
      </c>
      <c r="H27" t="str">
        <f>"Nej"</f>
        <v>Nej</v>
      </c>
      <c r="I27" t="str">
        <f>" "</f>
        <v xml:space="preserve"> </v>
      </c>
    </row>
    <row r="28" spans="1:9" x14ac:dyDescent="0.25">
      <c r="A28" s="10" t="str">
        <f>"Håndter opfølgningsopgave for broek-procent-aendring"</f>
        <v>Håndter opfølgningsopgave for broek-procent-aendring</v>
      </c>
      <c r="B28" t="str">
        <f>"Nej"</f>
        <v>Nej</v>
      </c>
      <c r="C28" t="str">
        <f>"Start af håndter opfølgningsopgave process for broek-procent-aendring"</f>
        <v>Start af håndter opfølgningsopgave process for broek-procent-aendring</v>
      </c>
      <c r="D28" t="str">
        <f>"PROC_OP_BROEK_PROCENT_AENDRING"</f>
        <v>PROC_OP_BROEK_PROCENT_AENDRING</v>
      </c>
      <c r="E28" t="str">
        <f>"HAANDTER_OPFOELGNINGSOPGAVE"</f>
        <v>HAANDTER_OPFOELGNINGSOPGAVE</v>
      </c>
      <c r="F28" t="str">
        <f>"Brøk/procent har ændret sig"</f>
        <v>Brøk/procent har ændret sig</v>
      </c>
      <c r="G28" t="str">
        <f>"0"</f>
        <v>0</v>
      </c>
      <c r="H28" t="str">
        <f>"Ja"</f>
        <v>Ja</v>
      </c>
      <c r="I28" t="str">
        <f>"Personligt tillæg"</f>
        <v>Personligt tillæg</v>
      </c>
    </row>
    <row r="29" spans="1:9" x14ac:dyDescent="0.25">
      <c r="A29" s="10" t="str">
        <f>"Håndter opfølgningsopgave for haandter-supplement-til-broekpension-tilflytning"</f>
        <v>Håndter opfølgningsopgave for haandter-supplement-til-broekpension-tilflytning</v>
      </c>
      <c r="B29" t="str">
        <f>"Nej"</f>
        <v>Nej</v>
      </c>
      <c r="C29" t="str">
        <f>"Start af håndter opfølgningsopgave process for haandter-supplement-til-broekpension-tilflytning"</f>
        <v>Start af håndter opfølgningsopgave process for haandter-supplement-til-broekpension-tilflytning</v>
      </c>
      <c r="D29" t="str">
        <f>"PROC_OP_HAANDTER_SUPPLEMENT_TIL_BROEKPENSION_TILFLYTNING"</f>
        <v>PROC_OP_HAANDTER_SUPPLEMENT_TIL_BROEKPENSION_TILFLYTNING</v>
      </c>
      <c r="E29" t="str">
        <f>"HAANDTER_OPFOELGNINGSOPGAVE"</f>
        <v>HAANDTER_OPFOELGNINGSOPGAVE</v>
      </c>
      <c r="F29" t="str">
        <f>"Sagsbehandler tager stilling til om borger har ret til supplement til brøkpensions ved tilflytning til kommunen"</f>
        <v>Sagsbehandler tager stilling til om borger har ret til supplement til brøkpensions ved tilflytning til kommunen</v>
      </c>
      <c r="G29" t="str">
        <f>"0"</f>
        <v>0</v>
      </c>
      <c r="H29" t="str">
        <f>"Ja"</f>
        <v>Ja</v>
      </c>
      <c r="I29" t="str">
        <f>"Personligt tillæg"</f>
        <v>Personligt tillæg</v>
      </c>
    </row>
    <row r="30" spans="1:9" x14ac:dyDescent="0.25">
      <c r="A30" s="10" t="str">
        <f>"Håndter opfølgningsopgave for revurder-supplement"</f>
        <v>Håndter opfølgningsopgave for revurder-supplement</v>
      </c>
      <c r="B30" t="str">
        <f>"Nej"</f>
        <v>Nej</v>
      </c>
      <c r="C30" t="str">
        <f>"Start af håndter opfølgningsopgave process for revurder-supplement"</f>
        <v>Start af håndter opfølgningsopgave process for revurder-supplement</v>
      </c>
      <c r="D30" t="str">
        <f>"PROC_OP_REVURDER_SUPPLEMENT"</f>
        <v>PROC_OP_REVURDER_SUPPLEMENT</v>
      </c>
      <c r="E30" t="str">
        <f>"HAANDTER_OPFOELGNINGSOPGAVE"</f>
        <v>HAANDTER_OPFOELGNINGSOPGAVE</v>
      </c>
      <c r="F30" t="str">
        <f>"Revurder supplement"</f>
        <v>Revurder supplement</v>
      </c>
      <c r="G30" t="str">
        <f>"0"</f>
        <v>0</v>
      </c>
      <c r="H30" t="str">
        <f>"Ja"</f>
        <v>Ja</v>
      </c>
      <c r="I30" t="str">
        <f>"Personligt tillæg"</f>
        <v>Personligt tillæg</v>
      </c>
    </row>
    <row r="31" spans="1:9" x14ac:dyDescent="0.25">
      <c r="A31" s="10" t="str">
        <f>"Opfølgningsopgave oprettet - Revurdering af udvidet helbredstillæg"</f>
        <v>Opfølgningsopgave oprettet - Revurdering af udvidet helbredstillæg</v>
      </c>
      <c r="B31" t="str">
        <f>"Nej"</f>
        <v>Nej</v>
      </c>
      <c r="C31" t="str">
        <f>"Starter opfølgningsopgave som svare til typden."</f>
        <v>Starter opfølgningsopgave som svare til typden.</v>
      </c>
      <c r="D31" t="str">
        <f>"PROC_OP_REVURDER_UDVIDET_HELBREDSTILLAEG"</f>
        <v>PROC_OP_REVURDER_UDVIDET_HELBREDSTILLAEG</v>
      </c>
      <c r="E31" t="str">
        <f>"HAANDTER_OPFOELGNINGSOPGAVE"</f>
        <v>HAANDTER_OPFOELGNINGSOPGAVE</v>
      </c>
      <c r="F31" t="str">
        <f>"Revurdering af udvidet helbredstillæg"</f>
        <v>Revurdering af udvidet helbredstillæg</v>
      </c>
      <c r="G31" t="str">
        <f>"0"</f>
        <v>0</v>
      </c>
      <c r="H31" t="str">
        <f>"Ja"</f>
        <v>Ja</v>
      </c>
      <c r="I31" t="str">
        <f>"Udvidet helbredstillæg"</f>
        <v>Udvidet helbredstillæg</v>
      </c>
    </row>
    <row r="32" spans="1:9" x14ac:dyDescent="0.25">
      <c r="A32" s="10" t="str">
        <f>"Håndter opfølgningsopgave for revurdering-personligt-tillaeg"</f>
        <v>Håndter opfølgningsopgave for revurdering-personligt-tillaeg</v>
      </c>
      <c r="B32" t="str">
        <f>"Nej"</f>
        <v>Nej</v>
      </c>
      <c r="C32" t="str">
        <f>"Start af håndter opfølgningsopgave process for revurdering-personligt-tillaeg"</f>
        <v>Start af håndter opfølgningsopgave process for revurdering-personligt-tillaeg</v>
      </c>
      <c r="D32" t="str">
        <f>"PROC_OP_REVURDERING_PERSONLIGT_TILLAEG"</f>
        <v>PROC_OP_REVURDERING_PERSONLIGT_TILLAEG</v>
      </c>
      <c r="E32" t="str">
        <f>"HAANDTER_OPFOELGNINGSOPGAVE"</f>
        <v>HAANDTER_OPFOELGNINGSOPGAVE</v>
      </c>
      <c r="F32" t="str">
        <f>"Revurdering af personligt tillæg"</f>
        <v>Revurdering af personligt tillæg</v>
      </c>
      <c r="G32" t="str">
        <f>"0"</f>
        <v>0</v>
      </c>
      <c r="H32" t="str">
        <f>"Ja"</f>
        <v>Ja</v>
      </c>
      <c r="I32" t="str">
        <f>"Personligt tillæg"</f>
        <v>Personligt tillæg</v>
      </c>
    </row>
    <row r="33" spans="1:9" x14ac:dyDescent="0.25">
      <c r="A33" s="10" t="str">
        <f>"Håndter opfølgningsopgave for stop-paragraf-43-traek"</f>
        <v>Håndter opfølgningsopgave for stop-paragraf-43-traek</v>
      </c>
      <c r="B33" t="str">
        <f>"Nej"</f>
        <v>Nej</v>
      </c>
      <c r="C33" t="str">
        <f>"Start af håndter opfølgningsopgave process for stop-paragraf-43-traek"</f>
        <v>Start af håndter opfølgningsopgave process for stop-paragraf-43-traek</v>
      </c>
      <c r="D33" t="str">
        <f>"PROC_OP_STOP_PARAGRAF_43_TRAEK"</f>
        <v>PROC_OP_STOP_PARAGRAF_43_TRAEK</v>
      </c>
      <c r="E33" t="str">
        <f>"HAANDTER_OPFOELGNINGSOPGAVE"</f>
        <v>HAANDTER_OPFOELGNINGSOPGAVE</v>
      </c>
      <c r="F33" t="str">
        <f>"Stop af §43 træk"</f>
        <v>Stop af §43 træk</v>
      </c>
      <c r="G33" t="str">
        <f>"0"</f>
        <v>0</v>
      </c>
      <c r="H33" t="str">
        <f>"Ja"</f>
        <v>Ja</v>
      </c>
      <c r="I33" t="str">
        <f>"Personligt tillæg"</f>
        <v>Personligt tillæg</v>
      </c>
    </row>
    <row r="34" spans="1:9" x14ac:dyDescent="0.25">
      <c r="A34" s="10" t="str">
        <f>"Håndter opfølgningsopgave for UDKPE-formue"</f>
        <v>Håndter opfølgningsopgave for UDKPE-formue</v>
      </c>
      <c r="B34" t="str">
        <f>"Nej"</f>
        <v>Nej</v>
      </c>
      <c r="C34" t="str">
        <f>"Start af håndter opfølgningsopgave process for UDKPE-formue"</f>
        <v>Start af håndter opfølgningsopgave process for UDKPE-formue</v>
      </c>
      <c r="D34" t="str">
        <f>"PROC_OP_UDKPE_FORMUE"</f>
        <v>PROC_OP_UDKPE_FORMUE</v>
      </c>
      <c r="E34" t="str">
        <f>"HAANDTER_OPFOELGNINGSOPGAVE"</f>
        <v>HAANDTER_OPFOELGNINGSOPGAVE</v>
      </c>
      <c r="F34" t="str">
        <f>"Formue har ændret sig"</f>
        <v>Formue har ændret sig</v>
      </c>
      <c r="G34" t="str">
        <f>"0"</f>
        <v>0</v>
      </c>
      <c r="H34" t="str">
        <f>"Ja"</f>
        <v>Ja</v>
      </c>
      <c r="I34" t="str">
        <f>"Helbredstillægskort"</f>
        <v>Helbredstillægskort</v>
      </c>
    </row>
    <row r="35" spans="1:9" x14ac:dyDescent="0.25">
      <c r="A35" s="10" t="str">
        <f>"Håndter opfølgningsopgave for UDKPE-overgang-til-fop"</f>
        <v>Håndter opfølgningsopgave for UDKPE-overgang-til-fop</v>
      </c>
      <c r="B35" t="str">
        <f>"Nej"</f>
        <v>Nej</v>
      </c>
      <c r="C35" t="str">
        <f>"Start af håndter opfølgningsopgave process for UDKPE-overgang-til-fop"</f>
        <v>Start af håndter opfølgningsopgave process for UDKPE-overgang-til-fop</v>
      </c>
      <c r="D35" t="str">
        <f>"PROC_OP_UDKPE_OVERGANG_TIL_FOP"</f>
        <v>PROC_OP_UDKPE_OVERGANG_TIL_FOP</v>
      </c>
      <c r="E35" t="str">
        <f>"HAANDTER_OPFOELGNINGSOPGAVE"</f>
        <v>HAANDTER_OPFOELGNINGSOPGAVE</v>
      </c>
      <c r="F35" t="str">
        <f>"Overgang til folkepension"</f>
        <v>Overgang til folkepension</v>
      </c>
      <c r="G35" t="str">
        <f>"0"</f>
        <v>0</v>
      </c>
      <c r="H35" t="str">
        <f>"Ja"</f>
        <v>Ja</v>
      </c>
      <c r="I35" t="str">
        <f>"Personligt tillæg"</f>
        <v>Personligt tillæg</v>
      </c>
    </row>
    <row r="36" spans="1:9" x14ac:dyDescent="0.25">
      <c r="A36" s="10" t="str">
        <f>"Håndter opfølgningsopgave for UDKPE-pensionsbroekprocent"</f>
        <v>Håndter opfølgningsopgave for UDKPE-pensionsbroekprocent</v>
      </c>
      <c r="B36" t="str">
        <f>"Nej"</f>
        <v>Nej</v>
      </c>
      <c r="C36" t="str">
        <f>"Start af håndter opfølgningsopgave process for UDKPE-pensionsbroekprocent"</f>
        <v>Start af håndter opfølgningsopgave process for UDKPE-pensionsbroekprocent</v>
      </c>
      <c r="D36" t="str">
        <f>"PROC_OP_UDKPE_PENSIONSBROEKPROCENT"</f>
        <v>PROC_OP_UDKPE_PENSIONSBROEKPROCENT</v>
      </c>
      <c r="E36" t="str">
        <f>"HAANDTER_OPFOELGNINGSOPGAVE"</f>
        <v>HAANDTER_OPFOELGNINGSOPGAVE</v>
      </c>
      <c r="F36" t="str">
        <f>"Pensionsbrøk/Procentpension har ændret sig"</f>
        <v>Pensionsbrøk/Procentpension har ændret sig</v>
      </c>
      <c r="G36" t="str">
        <f>"0"</f>
        <v>0</v>
      </c>
      <c r="H36" t="str">
        <f>"Ja"</f>
        <v>Ja</v>
      </c>
      <c r="I36" t="str">
        <f>"Personligt tillæg"</f>
        <v>Personligt tillæg</v>
      </c>
    </row>
    <row r="37" spans="1:9" x14ac:dyDescent="0.25">
      <c r="A37" s="10" t="str">
        <f>"Håndter opfølgningsopgave for UDKPE-pensionsstatus"</f>
        <v>Håndter opfølgningsopgave for UDKPE-pensionsstatus</v>
      </c>
      <c r="B37" t="str">
        <f>"Nej"</f>
        <v>Nej</v>
      </c>
      <c r="C37" t="str">
        <f>"Start af håndter opfølgningsopgave process for UDKPE-pensionsstatus"</f>
        <v>Start af håndter opfølgningsopgave process for UDKPE-pensionsstatus</v>
      </c>
      <c r="D37" t="str">
        <f>"PROC_OP_UDKPE_PENSIONSSTATUS"</f>
        <v>PROC_OP_UDKPE_PENSIONSSTATUS</v>
      </c>
      <c r="E37" t="str">
        <f>"HAANDTER_OPFOELGNINGSOPGAVE"</f>
        <v>HAANDTER_OPFOELGNINGSOPGAVE</v>
      </c>
      <c r="F37" t="str">
        <f>"Pensionsstatus har ændret sig"</f>
        <v>Pensionsstatus har ændret sig</v>
      </c>
      <c r="G37" t="str">
        <f>"0"</f>
        <v>0</v>
      </c>
      <c r="H37" t="str">
        <f>"Ja"</f>
        <v>Ja</v>
      </c>
      <c r="I37" t="str">
        <f>"Personligt tillæg"</f>
        <v>Personligt tillæg</v>
      </c>
    </row>
    <row r="38" spans="1:9" x14ac:dyDescent="0.25">
      <c r="A38" s="10" t="str">
        <f>"Håndter opfølgningsopgave for UDKPE-pensionstype"</f>
        <v>Håndter opfølgningsopgave for UDKPE-pensionstype</v>
      </c>
      <c r="B38" t="str">
        <f>"Nej"</f>
        <v>Nej</v>
      </c>
      <c r="C38" t="str">
        <f>"Start af håndter opfølgningsopgave process for UDKPE-pensionstype"</f>
        <v>Start af håndter opfølgningsopgave process for UDKPE-pensionstype</v>
      </c>
      <c r="D38" t="str">
        <f>"PROC_OP_UDKPE_PENSIONSTYPE"</f>
        <v>PROC_OP_UDKPE_PENSIONSTYPE</v>
      </c>
      <c r="E38" t="str">
        <f>"HAANDTER_OPFOELGNINGSOPGAVE"</f>
        <v>HAANDTER_OPFOELGNINGSOPGAVE</v>
      </c>
      <c r="F38" t="str">
        <f>"Pensionstype har ændret sig"</f>
        <v>Pensionstype har ændret sig</v>
      </c>
      <c r="G38" t="str">
        <f>"0"</f>
        <v>0</v>
      </c>
      <c r="H38" t="str">
        <f>"Ja"</f>
        <v>Ja</v>
      </c>
      <c r="I38" t="str">
        <f>"Personligt tillæg"</f>
        <v>Personligt tillæg</v>
      </c>
    </row>
    <row r="39" spans="1:9" x14ac:dyDescent="0.25">
      <c r="A39" s="10" t="str">
        <f>"Håndter opfølgningsopgave for UDKPE-sag-afgjort-tilbage"</f>
        <v>Håndter opfølgningsopgave for UDKPE-sag-afgjort-tilbage</v>
      </c>
      <c r="B39" t="str">
        <f>"Nej"</f>
        <v>Nej</v>
      </c>
      <c r="C39" t="str">
        <f>"Start af håndter opfølgningsopgave process for UDKPE-sag-afgjort-tilbage"</f>
        <v>Start af håndter opfølgningsopgave process for UDKPE-sag-afgjort-tilbage</v>
      </c>
      <c r="D39" t="str">
        <f>"PROC_OP_UDKPE_SAG_AFGJORT_TILBAGE"</f>
        <v>PROC_OP_UDKPE_SAG_AFGJORT_TILBAGE</v>
      </c>
      <c r="E39" t="str">
        <f>"HAANDTER_OPFOELGNINGSOPGAVE"</f>
        <v>HAANDTER_OPFOELGNINGSOPGAVE</v>
      </c>
      <c r="F39" t="str">
        <f>"Pensionssag afgjort"</f>
        <v>Pensionssag afgjort</v>
      </c>
      <c r="G39" t="str">
        <f>"0"</f>
        <v>0</v>
      </c>
      <c r="H39" t="str">
        <f>"Ja"</f>
        <v>Ja</v>
      </c>
      <c r="I39" t="str">
        <f>"Personligt tillæg"</f>
        <v>Personligt tillæg</v>
      </c>
    </row>
    <row r="40" spans="1:9" x14ac:dyDescent="0.25">
      <c r="A40" s="10" t="str">
        <f>"Håndter opfølgningsopgave for UDKPE-samliv"</f>
        <v>Håndter opfølgningsopgave for UDKPE-samliv</v>
      </c>
      <c r="B40" t="str">
        <f>"Nej"</f>
        <v>Nej</v>
      </c>
      <c r="C40" t="str">
        <f>"Start af håndter opfølgningsopgave process for UDKPE-samliv"</f>
        <v>Start af håndter opfølgningsopgave process for UDKPE-samliv</v>
      </c>
      <c r="D40" t="str">
        <f>"PROC_OP_UDKPE_SAMLIV"</f>
        <v>PROC_OP_UDKPE_SAMLIV</v>
      </c>
      <c r="E40" t="str">
        <f>"HAANDTER_OPFOELGNINGSOPGAVE"</f>
        <v>HAANDTER_OPFOELGNINGSOPGAVE</v>
      </c>
      <c r="F40" t="str">
        <f>"Samlivstatus har ændret sig"</f>
        <v>Samlivstatus har ændret sig</v>
      </c>
      <c r="G40" t="str">
        <f>"0"</f>
        <v>0</v>
      </c>
      <c r="H40" t="str">
        <f>"Ja"</f>
        <v>Ja</v>
      </c>
      <c r="I40" t="str">
        <f>"Personligt tillæg"</f>
        <v>Personligt tillæg</v>
      </c>
    </row>
    <row r="41" spans="1:9" x14ac:dyDescent="0.25">
      <c r="A41" s="10" t="str">
        <f>"Håndter opfølgningsopgave for UDKPE-tillaegsprocent"</f>
        <v>Håndter opfølgningsopgave for UDKPE-tillaegsprocent</v>
      </c>
      <c r="B41" t="str">
        <f>"Nej"</f>
        <v>Nej</v>
      </c>
      <c r="C41" t="str">
        <f>"Start af håndter opfølgningsopgave process for UDKPE-tillaegsprocent"</f>
        <v>Start af håndter opfølgningsopgave process for UDKPE-tillaegsprocent</v>
      </c>
      <c r="D41" t="str">
        <f>"PROC_OP_UDKPE_TILLAEGSPROCENT"</f>
        <v>PROC_OP_UDKPE_TILLAEGSPROCENT</v>
      </c>
      <c r="E41" t="str">
        <f>"HAANDTER_OPFOELGNINGSOPGAVE"</f>
        <v>HAANDTER_OPFOELGNINGSOPGAVE</v>
      </c>
      <c r="F41" t="str">
        <f>"Tillægsprocenten har ændret sig"</f>
        <v>Tillægsprocenten har ændret sig</v>
      </c>
      <c r="G41" t="str">
        <f>"0"</f>
        <v>0</v>
      </c>
      <c r="H41" t="str">
        <f>"Ja"</f>
        <v>Ja</v>
      </c>
      <c r="I41" t="str">
        <f>"Helbredstillægskort"</f>
        <v>Helbredstillægskort</v>
      </c>
    </row>
    <row r="42" spans="1:9" x14ac:dyDescent="0.25">
      <c r="A42" s="10" t="str">
        <f>"Bestem Finansieringskommune Manuelt"</f>
        <v>Bestem Finansieringskommune Manuelt</v>
      </c>
      <c r="B42" t="str">
        <f>"Nej"</f>
        <v>Nej</v>
      </c>
      <c r="C42" t="str">
        <f>"Bestem Finansieringskommune Manuelt"</f>
        <v>Bestem Finansieringskommune Manuelt</v>
      </c>
      <c r="D42" t="str">
        <f>"HD_BESTEM_FINANSIERINGSKOMMUNE_MANUELT"</f>
        <v>HD_BESTEM_FINANSIERINGSKOMMUNE_MANUELT</v>
      </c>
      <c r="E42" t="str">
        <f>"BESTEM_FINANSIERINGSKOMMUNE_MANUELT"</f>
        <v>BESTEM_FINANSIERINGSKOMMUNE_MANUELT</v>
      </c>
      <c r="F42" t="str">
        <f>" "</f>
        <v xml:space="preserve"> </v>
      </c>
      <c r="G42" t="str">
        <f>" "</f>
        <v xml:space="preserve"> </v>
      </c>
      <c r="H42" t="str">
        <f>" "</f>
        <v xml:space="preserve"> </v>
      </c>
      <c r="I42" t="str">
        <f>" "</f>
        <v xml:space="preserve"> </v>
      </c>
    </row>
    <row r="43" spans="1:9" x14ac:dyDescent="0.25">
      <c r="A43" s="10" t="str">
        <f>"Håndter brugerdefineret opfølgningsopgave"</f>
        <v>Håndter brugerdefineret opfølgningsopgave</v>
      </c>
      <c r="B43" t="str">
        <f>"Nej"</f>
        <v>Nej</v>
      </c>
      <c r="C43" t="str">
        <f>"Start af håndter opfølgningsopgave process for brugerdefineret opfølgningsopgave"</f>
        <v>Start af håndter opfølgningsopgave process for brugerdefineret opfølgningsopgave</v>
      </c>
      <c r="D43" t="str">
        <f>"PROC_OP_CUSTOM_OPFOELGNINGSOPGAVE"</f>
        <v>PROC_OP_CUSTOM_OPFOELGNINGSOPGAVE</v>
      </c>
      <c r="E43" t="str">
        <f>"HAANDTER_OPFOELGNINGSOPGAVE"</f>
        <v>HAANDTER_OPFOELGNINGSOPGAVE</v>
      </c>
      <c r="F43" t="str">
        <f>"Brugerdefineret opfølgningsopgave"</f>
        <v>Brugerdefineret opfølgningsopgave</v>
      </c>
      <c r="G43" t="str">
        <f>"0"</f>
        <v>0</v>
      </c>
      <c r="H43" t="str">
        <f>" "</f>
        <v xml:space="preserve"> </v>
      </c>
      <c r="I43" t="str">
        <f>" "</f>
        <v xml:space="preserve"> </v>
      </c>
    </row>
    <row r="44" spans="1:9" x14ac:dyDescent="0.25">
      <c r="A44" s="10" t="str">
        <f>"Borger registreret som formodet død"</f>
        <v>Borger registreret som formodet død</v>
      </c>
      <c r="B44" t="str">
        <f>"Nej"</f>
        <v>Nej</v>
      </c>
      <c r="C44" t="str">
        <f>"Borger registreret som formodet død"</f>
        <v>Borger registreret som formodet død</v>
      </c>
      <c r="D44" t="str">
        <f>"HD_DOEDSPROCES"</f>
        <v>HD_DOEDSPROCES</v>
      </c>
      <c r="E44" t="str">
        <f>"DOEDSPROCES"</f>
        <v>DOEDSPROCES</v>
      </c>
      <c r="F44" t="str">
        <f>" "</f>
        <v xml:space="preserve"> </v>
      </c>
      <c r="G44" t="str">
        <f>" "</f>
        <v xml:space="preserve"> </v>
      </c>
      <c r="H44" t="str">
        <f>" "</f>
        <v xml:space="preserve"> </v>
      </c>
      <c r="I44" t="str">
        <f>" "</f>
        <v xml:space="preserve"> </v>
      </c>
    </row>
    <row r="45" spans="1:9" x14ac:dyDescent="0.25">
      <c r="A45" s="10" t="str">
        <f>"Borger registreret død i CPR"</f>
        <v>Borger registreret død i CPR</v>
      </c>
      <c r="B45" t="str">
        <f>"Nej"</f>
        <v>Nej</v>
      </c>
      <c r="C45" t="str">
        <f>"Borger registreret død i CPR"</f>
        <v>Borger registreret død i CPR</v>
      </c>
      <c r="D45" t="str">
        <f>"CPR_DOEDSFALD"</f>
        <v>CPR_DOEDSFALD</v>
      </c>
      <c r="E45" t="str">
        <f>"DOEDSPROCES"</f>
        <v>DOEDSPROCES</v>
      </c>
      <c r="F45" t="str">
        <f>" "</f>
        <v xml:space="preserve"> </v>
      </c>
      <c r="G45" t="str">
        <f>" "</f>
        <v xml:space="preserve"> </v>
      </c>
      <c r="H45" t="str">
        <f>" "</f>
        <v xml:space="preserve"> </v>
      </c>
      <c r="I45" t="str">
        <f>" "</f>
        <v xml:space="preserve"> </v>
      </c>
    </row>
    <row r="46" spans="1:9" x14ac:dyDescent="0.25">
      <c r="A46" s="10" t="str">
        <f>"Fraflytning"</f>
        <v>Fraflytning</v>
      </c>
      <c r="B46" t="str">
        <f>"Nej"</f>
        <v>Nej</v>
      </c>
      <c r="C46" t="str">
        <f>"Fraflytningsproces"</f>
        <v>Fraflytningsproces</v>
      </c>
      <c r="D46" t="str">
        <f>"HD_FRAFLYTNING"</f>
        <v>HD_FRAFLYTNING</v>
      </c>
      <c r="E46" t="str">
        <f>"FRAFLYTNING"</f>
        <v>FRAFLYTNING</v>
      </c>
      <c r="F46" t="str">
        <f>" "</f>
        <v xml:space="preserve"> </v>
      </c>
      <c r="G46" t="str">
        <f>" "</f>
        <v xml:space="preserve"> </v>
      </c>
      <c r="H46" t="str">
        <f>" "</f>
        <v xml:space="preserve"> </v>
      </c>
      <c r="I46" t="str">
        <f>" "</f>
        <v xml:space="preserve"> </v>
      </c>
    </row>
    <row r="47" spans="1:9" x14ac:dyDescent="0.25">
      <c r="A47" s="10" t="str">
        <f>"Fraflytning"</f>
        <v>Fraflytning</v>
      </c>
      <c r="B47" t="str">
        <f>"Nej"</f>
        <v>Nej</v>
      </c>
      <c r="C47" t="str">
        <f>"Fraflytningsproces"</f>
        <v>Fraflytningsproces</v>
      </c>
      <c r="D47" t="str">
        <f>"PROC_FRAFLYTNING"</f>
        <v>PROC_FRAFLYTNING</v>
      </c>
      <c r="E47" t="str">
        <f>"FRAFLYTNING"</f>
        <v>FRAFLYTNING</v>
      </c>
      <c r="F47" t="str">
        <f>" "</f>
        <v xml:space="preserve"> </v>
      </c>
      <c r="G47" t="str">
        <f>" "</f>
        <v xml:space="preserve"> </v>
      </c>
      <c r="H47" t="str">
        <f>" "</f>
        <v xml:space="preserve"> </v>
      </c>
      <c r="I47" t="str">
        <f>" "</f>
        <v xml:space="preserve"> </v>
      </c>
    </row>
    <row r="48" spans="1:9" x14ac:dyDescent="0.25">
      <c r="A48" s="10" t="str">
        <f>"Håndter afvist træk"</f>
        <v>Håndter afvist træk</v>
      </c>
      <c r="B48" t="str">
        <f>"Nej"</f>
        <v>Nej</v>
      </c>
      <c r="C48" t="str">
        <f>"Start af håndter afvist træk process"</f>
        <v>Start af håndter afvist træk process</v>
      </c>
      <c r="D48" t="str">
        <f>"HD_HAANDTER_AFVIST_TRAEK"</f>
        <v>HD_HAANDTER_AFVIST_TRAEK</v>
      </c>
      <c r="E48" t="str">
        <f>"HAANDTER_AFVIST_TRAEK"</f>
        <v>HAANDTER_AFVIST_TRAEK</v>
      </c>
      <c r="F48" t="str">
        <f>" "</f>
        <v xml:space="preserve"> </v>
      </c>
      <c r="G48" t="str">
        <f>" "</f>
        <v xml:space="preserve"> </v>
      </c>
      <c r="H48" t="str">
        <f>" "</f>
        <v xml:space="preserve"> </v>
      </c>
      <c r="I48" t="str">
        <f>" "</f>
        <v xml:space="preserve"> </v>
      </c>
    </row>
    <row r="49" spans="1:9" x14ac:dyDescent="0.25">
      <c r="A49" s="10" t="str">
        <f>"Haandter opfoelgningsopgave"</f>
        <v>Haandter opfoelgningsopgave</v>
      </c>
      <c r="B49" t="str">
        <f>"Nej"</f>
        <v>Nej</v>
      </c>
      <c r="C49" t="str">
        <f>"Haandter opfoelgningsopgave"</f>
        <v>Haandter opfoelgningsopgave</v>
      </c>
      <c r="D49" t="str">
        <f>"HD_HAANDTER_OPFOELGNINGSOPGAVE"</f>
        <v>HD_HAANDTER_OPFOELGNINGSOPGAVE</v>
      </c>
      <c r="E49" t="str">
        <f>"HAANDTER_OPFOELGNINGSOPGAVE"</f>
        <v>HAANDTER_OPFOELGNINGSOPGAVE</v>
      </c>
      <c r="F49" t="str">
        <f>" "</f>
        <v xml:space="preserve"> </v>
      </c>
      <c r="G49" t="str">
        <f>"0"</f>
        <v>0</v>
      </c>
      <c r="H49" t="str">
        <f>" "</f>
        <v xml:space="preserve"> </v>
      </c>
      <c r="I49" t="str">
        <f>" "</f>
        <v xml:space="preserve"> </v>
      </c>
    </row>
    <row r="50" spans="1:9" x14ac:dyDescent="0.25">
      <c r="A50" s="10" t="str">
        <f>"Håndter opfølgningsopgave for BATCH_MEDFINANSIERINGSOPKRAEVNINGER"</f>
        <v>Håndter opfølgningsopgave for BATCH_MEDFINANSIERINGSOPKRAEVNINGER</v>
      </c>
      <c r="B50" t="str">
        <f>"Nej"</f>
        <v>Nej</v>
      </c>
      <c r="C50" t="str">
        <f>"Start af håndter opfølgningsopgave process for BATCH_MEDFINANSIERINGSOPKRAEVNINGER"</f>
        <v>Start af håndter opfølgningsopgave process for BATCH_MEDFINANSIERINGSOPKRAEVNINGER</v>
      </c>
      <c r="D50" t="str">
        <f>"BATCH_MEDFINANSIERINGSOPKRAEVNINGER"</f>
        <v>BATCH_MEDFINANSIERINGSOPKRAEVNINGER</v>
      </c>
      <c r="E50" t="str">
        <f>"HAANDTER_OPFOELGNINGSOPGAVE"</f>
        <v>HAANDTER_OPFOELGNINGSOPGAVE</v>
      </c>
      <c r="F50" t="str">
        <f>"BATCH_MEDFINANSIERINGSOPKRAEVNINGER"</f>
        <v>BATCH_MEDFINANSIERINGSOPKRAEVNINGER</v>
      </c>
      <c r="G50" t="str">
        <f>" "</f>
        <v xml:space="preserve"> </v>
      </c>
      <c r="H50" t="str">
        <f>" "</f>
        <v xml:space="preserve"> </v>
      </c>
      <c r="I50" t="str">
        <f>" "</f>
        <v xml:space="preserve"> </v>
      </c>
    </row>
    <row r="51" spans="1:9" x14ac:dyDescent="0.25">
      <c r="A51" s="10" t="str">
        <f>"Håndter opfølgningsopgave for bistandspleje-annullering"</f>
        <v>Håndter opfølgningsopgave for bistandspleje-annullering</v>
      </c>
      <c r="B51" t="str">
        <f>"Nej"</f>
        <v>Nej</v>
      </c>
      <c r="C51" t="str">
        <f>"Start af håndter opfølgningsopgave process for bistandspleje-annullering"</f>
        <v>Start af håndter opfølgningsopgave process for bistandspleje-annullering</v>
      </c>
      <c r="D51" t="str">
        <f>"PROC_OP_BISTANDSPLEJE_ANNULLERING"</f>
        <v>PROC_OP_BISTANDSPLEJE_ANNULLERING</v>
      </c>
      <c r="E51" t="str">
        <f>"HAANDTER_OPFOELGNINGSOPGAVE"</f>
        <v>HAANDTER_OPFOELGNINGSOPGAVE</v>
      </c>
      <c r="F51" t="str">
        <f>"UDK har annulleret en bistands- eller plejetillægssag for en periode"</f>
        <v>UDK har annulleret en bistands- eller plejetillægssag for en periode</v>
      </c>
      <c r="G51" t="str">
        <f>"0"</f>
        <v>0</v>
      </c>
      <c r="H51" t="str">
        <f>" "</f>
        <v xml:space="preserve"> </v>
      </c>
      <c r="I51" t="str">
        <f>" "</f>
        <v xml:space="preserve"> </v>
      </c>
    </row>
    <row r="52" spans="1:9" x14ac:dyDescent="0.25">
      <c r="A52" s="10" t="str">
        <f>"Håndter opfølgningsopgave for bistandspleje-start"</f>
        <v>Håndter opfølgningsopgave for bistandspleje-start</v>
      </c>
      <c r="B52" t="str">
        <f>"Nej"</f>
        <v>Nej</v>
      </c>
      <c r="C52" t="str">
        <f>"Start af håndter opfølgningsopgave process for bistandspleje-start"</f>
        <v>Start af håndter opfølgningsopgave process for bistandspleje-start</v>
      </c>
      <c r="D52" t="str">
        <f>"PROC_OP_BISTANDSPLEJE_START"</f>
        <v>PROC_OP_BISTANDSPLEJE_START</v>
      </c>
      <c r="E52" t="str">
        <f>"HAANDTER_OPFOELGNINGSOPGAVE"</f>
        <v>HAANDTER_OPFOELGNINGSOPGAVE</v>
      </c>
      <c r="F52" t="str">
        <f>"UDK har startet en en bistands- eller plejetillægssag"</f>
        <v>UDK har startet en en bistands- eller plejetillægssag</v>
      </c>
      <c r="G52" t="str">
        <f>"0"</f>
        <v>0</v>
      </c>
      <c r="H52" t="str">
        <f>" "</f>
        <v xml:space="preserve"> </v>
      </c>
      <c r="I52" t="str">
        <f>" "</f>
        <v xml:space="preserve"> </v>
      </c>
    </row>
    <row r="53" spans="1:9" x14ac:dyDescent="0.25">
      <c r="A53" s="10" t="str">
        <f>"Håndter opfølgningsopgave for bistandspleje-stop"</f>
        <v>Håndter opfølgningsopgave for bistandspleje-stop</v>
      </c>
      <c r="B53" t="str">
        <f>"Nej"</f>
        <v>Nej</v>
      </c>
      <c r="C53" t="str">
        <f>"Start af håndter opfølgningsopgave process for bistandspleje-stop"</f>
        <v>Start af håndter opfølgningsopgave process for bistandspleje-stop</v>
      </c>
      <c r="D53" t="str">
        <f>"PROC_OP_BISTANDSPLEJE_STOP"</f>
        <v>PROC_OP_BISTANDSPLEJE_STOP</v>
      </c>
      <c r="E53" t="str">
        <f>"HAANDTER_OPFOELGNINGSOPGAVE"</f>
        <v>HAANDTER_OPFOELGNINGSOPGAVE</v>
      </c>
      <c r="F53" t="str">
        <f>"UDK har ændret slutdato på en bistands- eller plejetillægssag"</f>
        <v>UDK har ændret slutdato på en bistands- eller plejetillægssag</v>
      </c>
      <c r="G53" t="str">
        <f>"0"</f>
        <v>0</v>
      </c>
      <c r="H53" t="str">
        <f>" "</f>
        <v xml:space="preserve"> </v>
      </c>
      <c r="I53" t="str">
        <f>" "</f>
        <v xml:space="preserve"> </v>
      </c>
    </row>
    <row r="54" spans="1:9" x14ac:dyDescent="0.25">
      <c r="A54" s="10" t="str">
        <f>"Håndter opfølgningsopgave for bopael_fraflytning"</f>
        <v>Håndter opfølgningsopgave for bopael_fraflytning</v>
      </c>
      <c r="B54" t="str">
        <f>"Nej"</f>
        <v>Nej</v>
      </c>
      <c r="C54" t="str">
        <f>"Start af håndter opfølgningsopgave process for bopael_fraflytning"</f>
        <v>Start af håndter opfølgningsopgave process for bopael_fraflytning</v>
      </c>
      <c r="D54" t="str">
        <f>"PROC_OP_BOPAELS_FRAFLYTNING"</f>
        <v>PROC_OP_BOPAELS_FRAFLYTNING</v>
      </c>
      <c r="E54" t="str">
        <f>"HAANDTER_OPFOELGNINGSOPGAVE"</f>
        <v>HAANDTER_OPFOELGNINGSOPGAVE</v>
      </c>
      <c r="F54" t="str">
        <f>"Modtaget besked om fraflytning fra CPR."</f>
        <v>Modtaget besked om fraflytning fra CPR.</v>
      </c>
      <c r="G54" t="str">
        <f>"0"</f>
        <v>0</v>
      </c>
      <c r="H54" t="str">
        <f>" "</f>
        <v xml:space="preserve"> </v>
      </c>
      <c r="I54" t="str">
        <f>" "</f>
        <v xml:space="preserve"> </v>
      </c>
    </row>
    <row r="55" spans="1:9" x14ac:dyDescent="0.25">
      <c r="A55" s="10" t="str">
        <f>"Håndter opfølgningsopgave for bopael_indflytning"</f>
        <v>Håndter opfølgningsopgave for bopael_indflytning</v>
      </c>
      <c r="B55" t="str">
        <f>"Nej"</f>
        <v>Nej</v>
      </c>
      <c r="C55" t="str">
        <f>"Start af håndter opfølgningsopgave process for bopael_indflytning"</f>
        <v>Start af håndter opfølgningsopgave process for bopael_indflytning</v>
      </c>
      <c r="D55" t="str">
        <f>"PROC_OP_BOPAELS_INDFLYTNING"</f>
        <v>PROC_OP_BOPAELS_INDFLYTNING</v>
      </c>
      <c r="E55" t="str">
        <f>"HAANDTER_OPFOELGNINGSOPGAVE"</f>
        <v>HAANDTER_OPFOELGNINGSOPGAVE</v>
      </c>
      <c r="F55" t="str">
        <f>"Modtaget besked om indflytning fra CPR."</f>
        <v>Modtaget besked om indflytning fra CPR.</v>
      </c>
      <c r="G55" t="str">
        <f>"0"</f>
        <v>0</v>
      </c>
      <c r="H55" t="str">
        <f>" "</f>
        <v xml:space="preserve"> </v>
      </c>
      <c r="I55" t="str">
        <f>" "</f>
        <v xml:space="preserve"> </v>
      </c>
    </row>
    <row r="56" spans="1:9" x14ac:dyDescent="0.25">
      <c r="A56" s="10" t="str">
        <f>"Håndter opfølgningsopgave for borger-doed-papir-sager"</f>
        <v>Håndter opfølgningsopgave for borger-doed-papir-sager</v>
      </c>
      <c r="B56" t="str">
        <f>"Nej"</f>
        <v>Nej</v>
      </c>
      <c r="C56" t="str">
        <f>"Start af håndter opfølgningsopgave process for borger-doed-papir-sager"</f>
        <v>Start af håndter opfølgningsopgave process for borger-doed-papir-sager</v>
      </c>
      <c r="D56" t="str">
        <f>"PROC_OP_BORGER_DOED_PAPIR_SAGER"</f>
        <v>PROC_OP_BORGER_DOED_PAPIR_SAGER</v>
      </c>
      <c r="E56" t="str">
        <f>"HAANDTER_OPFOELGNINGSOPGAVE"</f>
        <v>HAANDTER_OPFOELGNINGSOPGAVE</v>
      </c>
      <c r="F56" t="str">
        <f>"Arkivér papirsager"</f>
        <v>Arkivér papirsager</v>
      </c>
      <c r="G56" t="str">
        <f>"0"</f>
        <v>0</v>
      </c>
      <c r="H56" t="str">
        <f>" "</f>
        <v xml:space="preserve"> </v>
      </c>
      <c r="I56" t="str">
        <f>" "</f>
        <v xml:space="preserve"> </v>
      </c>
    </row>
    <row r="57" spans="1:9" x14ac:dyDescent="0.25">
      <c r="A57" s="10" t="str">
        <f>"Håndter opfølgningsopgave for borger-under-administration-flytter"</f>
        <v>Håndter opfølgningsopgave for borger-under-administration-flytter</v>
      </c>
      <c r="B57" t="str">
        <f>"Nej"</f>
        <v>Nej</v>
      </c>
      <c r="C57" t="str">
        <f>"Start af håndter opfølgningsopgave process for borger-under-administration-flytter"</f>
        <v>Start af håndter opfølgningsopgave process for borger-under-administration-flytter</v>
      </c>
      <c r="D57" t="str">
        <f>"PROC_OP_BORGER_UNDER_ADMINISTRATION_FLYTTER"</f>
        <v>PROC_OP_BORGER_UNDER_ADMINISTRATION_FLYTTER</v>
      </c>
      <c r="E57" t="str">
        <f>"HAANDTER_OPFOELGNINGSOPGAVE"</f>
        <v>HAANDTER_OPFOELGNINGSOPGAVE</v>
      </c>
      <c r="F57" t="str">
        <f>"Borger under administration tilflytter"</f>
        <v>Borger under administration tilflytter</v>
      </c>
      <c r="G57" t="str">
        <f>"0"</f>
        <v>0</v>
      </c>
      <c r="H57" t="str">
        <f>" "</f>
        <v xml:space="preserve"> </v>
      </c>
      <c r="I57" t="str">
        <f>" "</f>
        <v xml:space="preserve"> </v>
      </c>
    </row>
    <row r="58" spans="1:9" x14ac:dyDescent="0.25">
      <c r="A58" s="10" t="str">
        <f>"Håndter opfølgningsopgave for bos-manuel-fin-flyt-opfoelgning"</f>
        <v>Håndter opfølgningsopgave for bos-manuel-fin-flyt-opfoelgning</v>
      </c>
      <c r="B58" t="str">
        <f>"Nej"</f>
        <v>Nej</v>
      </c>
      <c r="C58" t="str">
        <f>"Start af håndter opfølgningsopgave process for bos-manuel-fin-flyt-opfoelgning"</f>
        <v>Start af håndter opfølgningsopgave process for bos-manuel-fin-flyt-opfoelgning</v>
      </c>
      <c r="D58" t="str">
        <f>"PROC_OP_BOS_MANUEL_FIN_FLYT_OPFOELGNING"</f>
        <v>PROC_OP_BOS_MANUEL_FIN_FLYT_OPFOELGNING</v>
      </c>
      <c r="E58" t="str">
        <f>"HAANDTER_OPFOELGNINGSOPGAVE"</f>
        <v>HAANDTER_OPFOELGNINGSOPGAVE</v>
      </c>
      <c r="F58" t="str">
        <f>"Manuel finansieringskommune for boligstøtte ved flytning."</f>
        <v>Manuel finansieringskommune for boligstøtte ved flytning.</v>
      </c>
      <c r="G58" t="str">
        <f>"0"</f>
        <v>0</v>
      </c>
      <c r="H58" t="str">
        <f>" "</f>
        <v xml:space="preserve"> </v>
      </c>
      <c r="I58" t="str">
        <f>" "</f>
        <v xml:space="preserve"> </v>
      </c>
    </row>
    <row r="59" spans="1:9" x14ac:dyDescent="0.25">
      <c r="A59" s="10" t="str">
        <f>"Håndter opfølgningsopgave for cpr_besked_sletning_personnummer"</f>
        <v>Håndter opfølgningsopgave for cpr_besked_sletning_personnummer</v>
      </c>
      <c r="B59" t="str">
        <f>"Nej"</f>
        <v>Nej</v>
      </c>
      <c r="C59" t="str">
        <f>"Start af håndter opfølgningsopgave process for cpr_besked_sletning_personnummer"</f>
        <v>Start af håndter opfølgningsopgave process for cpr_besked_sletning_personnummer</v>
      </c>
      <c r="D59" t="str">
        <f>"PROC_OP_CPR_BESKED_SLETNING_PERSONNUMMER"</f>
        <v>PROC_OP_CPR_BESKED_SLETNING_PERSONNUMMER</v>
      </c>
      <c r="E59" t="str">
        <f>"HAANDTER_OPFOELGNINGSOPGAVE"</f>
        <v>HAANDTER_OPFOELGNINGSOPGAVE</v>
      </c>
      <c r="F59" t="str">
        <f>"CPR besked - sletning af personnummer"</f>
        <v>CPR besked - sletning af personnummer</v>
      </c>
      <c r="G59" t="str">
        <f>"0"</f>
        <v>0</v>
      </c>
      <c r="H59" t="str">
        <f>" "</f>
        <v xml:space="preserve"> </v>
      </c>
      <c r="I59" t="str">
        <f>" "</f>
        <v xml:space="preserve"> </v>
      </c>
    </row>
    <row r="60" spans="1:9" x14ac:dyDescent="0.25">
      <c r="A60" s="10" t="str">
        <f>"Håndter opfølgningsopgave for cpr_besked_tidligere_dobbeltnummer"</f>
        <v>Håndter opfølgningsopgave for cpr_besked_tidligere_dobbeltnummer</v>
      </c>
      <c r="B60" t="str">
        <f>"Nej"</f>
        <v>Nej</v>
      </c>
      <c r="C60" t="str">
        <f>"Start af håndter opfølgningsopgave process for cpr_besked_tidligere_dobbeltnummer"</f>
        <v>Start af håndter opfølgningsopgave process for cpr_besked_tidligere_dobbeltnummer</v>
      </c>
      <c r="D60" t="str">
        <f>"PROC_OP_CPR_BESKED_TIDLIGERE_DOBBELTNUMMER"</f>
        <v>PROC_OP_CPR_BESKED_TIDLIGERE_DOBBELTNUMMER</v>
      </c>
      <c r="E60" t="str">
        <f>"HAANDTER_OPFOELGNINGSOPGAVE"</f>
        <v>HAANDTER_OPFOELGNINGSOPGAVE</v>
      </c>
      <c r="F60" t="str">
        <f>"CPR besked - tidligere dobbeltnummer"</f>
        <v>CPR besked - tidligere dobbeltnummer</v>
      </c>
      <c r="G60" t="str">
        <f>"0"</f>
        <v>0</v>
      </c>
      <c r="H60" t="str">
        <f>" "</f>
        <v xml:space="preserve"> </v>
      </c>
      <c r="I60" t="str">
        <f>" "</f>
        <v xml:space="preserve"> </v>
      </c>
    </row>
    <row r="61" spans="1:9" x14ac:dyDescent="0.25">
      <c r="A61" s="10" t="str">
        <f>"Håndter opfølgningsopgave for cpr_nummer_aendret"</f>
        <v>Håndter opfølgningsopgave for cpr_nummer_aendret</v>
      </c>
      <c r="B61" t="str">
        <f>"Nej"</f>
        <v>Nej</v>
      </c>
      <c r="C61" t="str">
        <f>"Start af håndter opfølgningsopgave process for cpr_nummer_aendret"</f>
        <v>Start af håndter opfølgningsopgave process for cpr_nummer_aendret</v>
      </c>
      <c r="D61" t="str">
        <f>"PROC_OP_CPR_NUMMER_AENDRET"</f>
        <v>PROC_OP_CPR_NUMMER_AENDRET</v>
      </c>
      <c r="E61" t="str">
        <f>"HAANDTER_OPFOELGNINGSOPGAVE"</f>
        <v>HAANDTER_OPFOELGNINGSOPGAVE</v>
      </c>
      <c r="F61" t="str">
        <f>"Sagsbehandler tager stilling til at borger har skiftet CPR nummer"</f>
        <v>Sagsbehandler tager stilling til at borger har skiftet CPR nummer</v>
      </c>
      <c r="G61" t="str">
        <f>"0"</f>
        <v>0</v>
      </c>
      <c r="H61" t="str">
        <f>" "</f>
        <v xml:space="preserve"> </v>
      </c>
      <c r="I61" t="str">
        <f>" "</f>
        <v xml:space="preserve"> </v>
      </c>
    </row>
    <row r="62" spans="1:9" x14ac:dyDescent="0.25">
      <c r="A62" s="10" t="str">
        <f>"Håndter opfølgningsopgave for hent_fradrag_fejl"</f>
        <v>Håndter opfølgningsopgave for hent_fradrag_fejl</v>
      </c>
      <c r="B62" t="str">
        <f>"Nej"</f>
        <v>Nej</v>
      </c>
      <c r="C62" t="str">
        <f>"Start af håndter opfølgningsopgave process for hent_fradrag_fejl"</f>
        <v>Start af håndter opfølgningsopgave process for hent_fradrag_fejl</v>
      </c>
      <c r="D62" t="str">
        <f>"PROC_OP_TF_HENT_FRADRAG_FEJL"</f>
        <v>PROC_OP_TF_HENT_FRADRAG_FEJL</v>
      </c>
      <c r="E62" t="str">
        <f>"HAANDTER_OPFOELGNINGSOPGAVE"</f>
        <v>HAANDTER_OPFOELGNINGSOPGAVE</v>
      </c>
      <c r="F62" t="str">
        <f>"En indberetning af tillæg/fradrag fra serviceleverandøren er fejlet."</f>
        <v>En indberetning af tillæg/fradrag fra serviceleverandøren er fejlet.</v>
      </c>
      <c r="G62" t="str">
        <f>"0"</f>
        <v>0</v>
      </c>
      <c r="H62" t="str">
        <f>" "</f>
        <v xml:space="preserve"> </v>
      </c>
      <c r="I62" t="str">
        <f>" "</f>
        <v xml:space="preserve"> </v>
      </c>
    </row>
    <row r="63" spans="1:9" x14ac:dyDescent="0.25">
      <c r="A63" s="10" t="str">
        <f>"Håndter opfølgningsopgave for lokal_konto_not_mapped_error_uuid_fejl"</f>
        <v>Håndter opfølgningsopgave for lokal_konto_not_mapped_error_uuid_fejl</v>
      </c>
      <c r="B63" t="str">
        <f>"Nej"</f>
        <v>Nej</v>
      </c>
      <c r="C63" t="str">
        <f>"Start af håndter opfølgningsopgave process for lokal_konto_not_mapped_error_uuid_fejl"</f>
        <v>Start af håndter opfølgningsopgave process for lokal_konto_not_mapped_error_uuid_fejl</v>
      </c>
      <c r="D63" t="str">
        <f>"PROC_OP_TF_LOKAL_KONTO_NOT_MAPPED_ERROR_UUID_FEJL"</f>
        <v>PROC_OP_TF_LOKAL_KONTO_NOT_MAPPED_ERROR_UUID_FEJL</v>
      </c>
      <c r="E63" t="str">
        <f>"HAANDTER_OPFOELGNINGSOPGAVE"</f>
        <v>HAANDTER_OPFOELGNINGSOPGAVE</v>
      </c>
      <c r="F63" t="str">
        <f>"En Finanspostering svar er fejlet."</f>
        <v>En Finanspostering svar er fejlet.</v>
      </c>
      <c r="G63" t="str">
        <f>"0"</f>
        <v>0</v>
      </c>
      <c r="H63" t="str">
        <f>" "</f>
        <v xml:space="preserve"> </v>
      </c>
      <c r="I63" t="str">
        <f>" "</f>
        <v xml:space="preserve"> </v>
      </c>
    </row>
    <row r="64" spans="1:9" x14ac:dyDescent="0.25">
      <c r="A64" s="10" t="str">
        <f>"Håndter opfølgningsopgave for maf-fin-kommune-skift-manuel-bos"</f>
        <v>Håndter opfølgningsopgave for maf-fin-kommune-skift-manuel-bos</v>
      </c>
      <c r="B64" t="str">
        <f>"Nej"</f>
        <v>Nej</v>
      </c>
      <c r="C64" t="str">
        <f>"Start af håndter opfølgningsopgave process for maf-fin-kommune-skift-manuel-bos"</f>
        <v>Start af håndter opfølgningsopgave process for maf-fin-kommune-skift-manuel-bos</v>
      </c>
      <c r="D64" t="str">
        <f>"PROC_OP_MAF_FIN_KOMMUNE_SKIFT_MANUEL_BOS"</f>
        <v>PROC_OP_MAF_FIN_KOMMUNE_SKIFT_MANUEL_BOS</v>
      </c>
      <c r="E64" t="str">
        <f>"HAANDTER_OPFOELGNINGSOPGAVE"</f>
        <v>HAANDTER_OPFOELGNINGSOPGAVE</v>
      </c>
      <c r="F64" t="str">
        <f>"Overstyring af finansieringskommune for boligstøtte"</f>
        <v>Overstyring af finansieringskommune for boligstøtte</v>
      </c>
      <c r="G64" t="str">
        <f>"0"</f>
        <v>0</v>
      </c>
      <c r="H64" t="str">
        <f>" "</f>
        <v xml:space="preserve"> </v>
      </c>
      <c r="I64" t="str">
        <f>" "</f>
        <v xml:space="preserve"> </v>
      </c>
    </row>
    <row r="65" spans="1:9" x14ac:dyDescent="0.25">
      <c r="A65" s="10" t="str">
        <f>"Håndter opfølgningsopgave for maf-fin-kommune-skift-manuel-foep"</f>
        <v>Håndter opfølgningsopgave for maf-fin-kommune-skift-manuel-foep</v>
      </c>
      <c r="B65" t="str">
        <f>"Nej"</f>
        <v>Nej</v>
      </c>
      <c r="C65" t="str">
        <f>"Start af håndter opfølgningsopgave process for maf-fin-kommune-skift-manuel-foep"</f>
        <v>Start af håndter opfølgningsopgave process for maf-fin-kommune-skift-manuel-foep</v>
      </c>
      <c r="D65" t="str">
        <f>"PROC_OP_MAF_FIN_KOMMUNE_SKIFT_MANUEL_FOEP"</f>
        <v>PROC_OP_MAF_FIN_KOMMUNE_SKIFT_MANUEL_FOEP</v>
      </c>
      <c r="E65" t="str">
        <f>"HAANDTER_OPFOELGNINGSOPGAVE"</f>
        <v>HAANDTER_OPFOELGNINGSOPGAVE</v>
      </c>
      <c r="F65" t="str">
        <f>"Overstyring af finansieringskommune for pension"</f>
        <v>Overstyring af finansieringskommune for pension</v>
      </c>
      <c r="G65" t="str">
        <f>"0"</f>
        <v>0</v>
      </c>
      <c r="H65" t="str">
        <f>" "</f>
        <v xml:space="preserve"> </v>
      </c>
      <c r="I65" t="str">
        <f>" "</f>
        <v xml:space="preserve"> </v>
      </c>
    </row>
    <row r="66" spans="1:9" x14ac:dyDescent="0.25">
      <c r="A66" s="10" t="str">
        <f>"Håndter opfølgningsopgave for maf-groenland"</f>
        <v>Håndter opfølgningsopgave for maf-groenland</v>
      </c>
      <c r="B66" t="str">
        <f>"Nej"</f>
        <v>Nej</v>
      </c>
      <c r="C66" t="str">
        <f>"Start af håndter opfølgningsopgave process for maf-groenland"</f>
        <v>Start af håndter opfølgningsopgave process for maf-groenland</v>
      </c>
      <c r="D66" t="str">
        <f>"PROC_OP_MAF_GROENLAND"</f>
        <v>PROC_OP_MAF_GROENLAND</v>
      </c>
      <c r="E66" t="str">
        <f>"HAANDTER_OPFOELGNINGSOPGAVE"</f>
        <v>HAANDTER_OPFOELGNINGSOPGAVE</v>
      </c>
      <c r="F66" t="str">
        <f>"Borger modtager pension som er grønlandsfinansieret"</f>
        <v>Borger modtager pension som er grønlandsfinansieret</v>
      </c>
      <c r="G66" t="str">
        <f>"0"</f>
        <v>0</v>
      </c>
      <c r="H66" t="str">
        <f>" "</f>
        <v xml:space="preserve"> </v>
      </c>
      <c r="I66" t="str">
        <f>" "</f>
        <v xml:space="preserve"> </v>
      </c>
    </row>
    <row r="67" spans="1:9" x14ac:dyDescent="0.25">
      <c r="A67" s="10" t="str">
        <f>"Håndter opfølgningsopgave for nk_batch_afvist_fejl"</f>
        <v>Håndter opfølgningsopgave for nk_batch_afvist_fejl</v>
      </c>
      <c r="B67" t="str">
        <f>"Nej"</f>
        <v>Nej</v>
      </c>
      <c r="C67" t="str">
        <f>"Start af håndter opfølgningsopgave process for nk_batch_afvist_fejl"</f>
        <v>Start af håndter opfølgningsopgave process for nk_batch_afvist_fejl</v>
      </c>
      <c r="D67" t="str">
        <f>"PROC_OP_NK_BATCH_AFVIST_FEJL"</f>
        <v>PROC_OP_NK_BATCH_AFVIST_FEJL</v>
      </c>
      <c r="E67" t="str">
        <f>"HAANDTER_OPFOELGNINGSOPGAVE"</f>
        <v>HAANDTER_OPFOELGNINGSOPGAVE</v>
      </c>
      <c r="F67" t="str">
        <f>"NK_BATCH_AFVIST_FEJL"</f>
        <v>NK_BATCH_AFVIST_FEJL</v>
      </c>
      <c r="G67" t="str">
        <f>"0"</f>
        <v>0</v>
      </c>
      <c r="H67" t="str">
        <f>" "</f>
        <v xml:space="preserve"> </v>
      </c>
      <c r="I67" t="str">
        <f>" "</f>
        <v xml:space="preserve"> </v>
      </c>
    </row>
    <row r="68" spans="1:9" x14ac:dyDescent="0.25">
      <c r="A68" s="10" t="str">
        <f>"Håndter opfølgningsopgave for nk_batch_stoppet"</f>
        <v>Håndter opfølgningsopgave for nk_batch_stoppet</v>
      </c>
      <c r="B68" t="str">
        <f>"Nej"</f>
        <v>Nej</v>
      </c>
      <c r="C68" t="str">
        <f>"Start af håndter opfølgningsopgave process for nk_batch_stoppet"</f>
        <v>Start af håndter opfølgningsopgave process for nk_batch_stoppet</v>
      </c>
      <c r="D68" t="str">
        <f>"PROC_OP_NK_BATCH_STOPPET"</f>
        <v>PROC_OP_NK_BATCH_STOPPET</v>
      </c>
      <c r="E68" t="str">
        <f>"HAANDTER_OPFOELGNINGSOPGAVE"</f>
        <v>HAANDTER_OPFOELGNINGSOPGAVE</v>
      </c>
      <c r="F68" t="str">
        <f>"NK_BATCH_STOPPET"</f>
        <v>NK_BATCH_STOPPET</v>
      </c>
      <c r="G68" t="str">
        <f>"0"</f>
        <v>0</v>
      </c>
      <c r="H68" t="str">
        <f>" "</f>
        <v xml:space="preserve"> </v>
      </c>
      <c r="I68" t="str">
        <f>" "</f>
        <v xml:space="preserve"> </v>
      </c>
    </row>
    <row r="69" spans="1:9" x14ac:dyDescent="0.25">
      <c r="A69" s="10" t="str">
        <f>"Håndter opfølgningsopgave for nk_udbetaling_kompletteringsfejl"</f>
        <v>Håndter opfølgningsopgave for nk_udbetaling_kompletteringsfejl</v>
      </c>
      <c r="B69" t="str">
        <f>"Nej"</f>
        <v>Nej</v>
      </c>
      <c r="C69" t="str">
        <f>"Start af håndter opfølgningsopgave process for nk_udbetaling_kompletteringsfejl"</f>
        <v>Start af håndter opfølgningsopgave process for nk_udbetaling_kompletteringsfejl</v>
      </c>
      <c r="D69" t="str">
        <f>"PROC_OP_NK_UDBETALING_KOMPLETTERINGSFEJL"</f>
        <v>PROC_OP_NK_UDBETALING_KOMPLETTERINGSFEJL</v>
      </c>
      <c r="E69" t="str">
        <f>"HAANDTER_OPFOELGNINGSOPGAVE"</f>
        <v>HAANDTER_OPFOELGNINGSOPGAVE</v>
      </c>
      <c r="F69" t="str">
        <f>"NK_UDBETALING_KOMPLETTERINGSFEJL"</f>
        <v>NK_UDBETALING_KOMPLETTERINGSFEJL</v>
      </c>
      <c r="G69" t="str">
        <f>"0"</f>
        <v>0</v>
      </c>
      <c r="H69" t="str">
        <f>" "</f>
        <v xml:space="preserve"> </v>
      </c>
      <c r="I69" t="str">
        <f>" "</f>
        <v xml:space="preserve"> </v>
      </c>
    </row>
    <row r="70" spans="1:9" x14ac:dyDescent="0.25">
      <c r="A70" s="10" t="str">
        <f>"Håndter opfølgningsopgave for nk_udbetaling_mngl_kontonummer"</f>
        <v>Håndter opfølgningsopgave for nk_udbetaling_mngl_kontonummer</v>
      </c>
      <c r="B70" t="str">
        <f>"Nej"</f>
        <v>Nej</v>
      </c>
      <c r="C70" t="str">
        <f>"Start af håndter opfølgningsopgave process for nk_udbetaling_mngl_kontonummer"</f>
        <v>Start af håndter opfølgningsopgave process for nk_udbetaling_mngl_kontonummer</v>
      </c>
      <c r="D70" t="str">
        <f>"PROC_OP_NK_UDBETALING_MNGL_KONTONUMMER"</f>
        <v>PROC_OP_NK_UDBETALING_MNGL_KONTONUMMER</v>
      </c>
      <c r="E70" t="str">
        <f>"HAANDTER_OPFOELGNINGSOPGAVE"</f>
        <v>HAANDTER_OPFOELGNINGSOPGAVE</v>
      </c>
      <c r="F70" t="str">
        <f>"NK_UDBETALING_MNGL_KONTONUMMER"</f>
        <v>NK_UDBETALING_MNGL_KONTONUMMER</v>
      </c>
      <c r="G70" t="str">
        <f>"0"</f>
        <v>0</v>
      </c>
      <c r="H70" t="str">
        <f>" "</f>
        <v xml:space="preserve"> </v>
      </c>
      <c r="I70" t="str">
        <f>" "</f>
        <v xml:space="preserve"> </v>
      </c>
    </row>
    <row r="71" spans="1:9" x14ac:dyDescent="0.25">
      <c r="A71" s="10" t="str">
        <f>"Håndter opfølgningsopgave for nk_udbetaling_pi_fejl"</f>
        <v>Håndter opfølgningsopgave for nk_udbetaling_pi_fejl</v>
      </c>
      <c r="B71" t="str">
        <f>"Nej"</f>
        <v>Nej</v>
      </c>
      <c r="C71" t="str">
        <f>"Start af håndter opfølgningsopgave process for nk_udbetaling_pi_fejl"</f>
        <v>Start af håndter opfølgningsopgave process for nk_udbetaling_pi_fejl</v>
      </c>
      <c r="D71" t="str">
        <f>"PROC_OP_NK_UDBETALING_PI_FEJL"</f>
        <v>PROC_OP_NK_UDBETALING_PI_FEJL</v>
      </c>
      <c r="E71" t="str">
        <f>"HAANDTER_OPFOELGNINGSOPGAVE"</f>
        <v>HAANDTER_OPFOELGNINGSOPGAVE</v>
      </c>
      <c r="F71" t="str">
        <f>"NK_UDBETALING_PI_FEJL"</f>
        <v>NK_UDBETALING_PI_FEJL</v>
      </c>
      <c r="G71" t="str">
        <f>"0"</f>
        <v>0</v>
      </c>
      <c r="H71" t="str">
        <f>" "</f>
        <v xml:space="preserve"> </v>
      </c>
      <c r="I71" t="str">
        <f>" "</f>
        <v xml:space="preserve"> </v>
      </c>
    </row>
    <row r="72" spans="1:9" x14ac:dyDescent="0.25">
      <c r="A72" s="10" t="str">
        <f>"Håndter opfølgningsopgave for pen-manuel-fin-flyt-opfoelgning"</f>
        <v>Håndter opfølgningsopgave for pen-manuel-fin-flyt-opfoelgning</v>
      </c>
      <c r="B72" t="str">
        <f>"Nej"</f>
        <v>Nej</v>
      </c>
      <c r="C72" t="str">
        <f>"Start af håndter opfølgningsopgave process for pen-manuel-fin-flyt-opfoelgning"</f>
        <v>Start af håndter opfølgningsopgave process for pen-manuel-fin-flyt-opfoelgning</v>
      </c>
      <c r="D72" t="str">
        <f>"PROC_OP_PEN_MANUEL_FIN_FLYT_OPFOELGNING"</f>
        <v>PROC_OP_PEN_MANUEL_FIN_FLYT_OPFOELGNING</v>
      </c>
      <c r="E72" t="str">
        <f>"HAANDTER_OPFOELGNINGSOPGAVE"</f>
        <v>HAANDTER_OPFOELGNINGSOPGAVE</v>
      </c>
      <c r="F72" t="str">
        <f>"Manuel finansieringskommune for pension ved flytning."</f>
        <v>Manuel finansieringskommune for pension ved flytning.</v>
      </c>
      <c r="G72" t="str">
        <f>"0"</f>
        <v>0</v>
      </c>
      <c r="H72" t="str">
        <f>" "</f>
        <v xml:space="preserve"> </v>
      </c>
      <c r="I72" t="str">
        <f>" "</f>
        <v xml:space="preserve"> </v>
      </c>
    </row>
    <row r="73" spans="1:9" x14ac:dyDescent="0.25">
      <c r="A73" s="10" t="str">
        <f>"Håndter opfølgningsopgave for revurder-ydelser-genoptagelse"</f>
        <v>Håndter opfølgningsopgave for revurder-ydelser-genoptagelse</v>
      </c>
      <c r="B73" t="str">
        <f>"Nej"</f>
        <v>Nej</v>
      </c>
      <c r="C73" t="str">
        <f>"Start af håndter opfølgningsopgave process for revurder-ydelser-genoptagelse"</f>
        <v>Start af håndter opfølgningsopgave process for revurder-ydelser-genoptagelse</v>
      </c>
      <c r="D73" t="str">
        <f>"PROC_OP_REVURDER_YDELSER_GENOPTAGELSE"</f>
        <v>PROC_OP_REVURDER_YDELSER_GENOPTAGELSE</v>
      </c>
      <c r="E73" t="str">
        <f>"HAANDTER_OPFOELGNINGSOPGAVE"</f>
        <v>HAANDTER_OPFOELGNINGSOPGAVE</v>
      </c>
      <c r="F73" t="str">
        <f>"Revurdering af ydelser på genoptaget pension"</f>
        <v>Revurdering af ydelser på genoptaget pension</v>
      </c>
      <c r="G73" t="str">
        <f>"0"</f>
        <v>0</v>
      </c>
      <c r="H73" t="str">
        <f>" "</f>
        <v xml:space="preserve"> </v>
      </c>
      <c r="I73" t="str">
        <f>" "</f>
        <v xml:space="preserve"> </v>
      </c>
    </row>
    <row r="74" spans="1:9" x14ac:dyDescent="0.25">
      <c r="A74" s="10" t="str">
        <f>"Håndter opfølgningsopgave for stop-administrationssag"</f>
        <v>Håndter opfølgningsopgave for stop-administrationssag</v>
      </c>
      <c r="B74" t="str">
        <f>"Nej"</f>
        <v>Nej</v>
      </c>
      <c r="C74" t="str">
        <f>"Start af håndter opfølgningsopgave process for stop-administrationssag"</f>
        <v>Start af håndter opfølgningsopgave process for stop-administrationssag</v>
      </c>
      <c r="D74" t="str">
        <f>"PROC_OP_STOP_ADMINISTRATIONSSAG"</f>
        <v>PROC_OP_STOP_ADMINISTRATIONSSAG</v>
      </c>
      <c r="E74" t="str">
        <f>"HAANDTER_OPFOELGNINGSOPGAVE"</f>
        <v>HAANDTER_OPFOELGNINGSOPGAVE</v>
      </c>
      <c r="F74" t="str">
        <f>"Stop af administrationssag"</f>
        <v>Stop af administrationssag</v>
      </c>
      <c r="G74" t="str">
        <f>"0"</f>
        <v>0</v>
      </c>
      <c r="H74" t="str">
        <f>" "</f>
        <v xml:space="preserve"> </v>
      </c>
      <c r="I74" t="str">
        <f>" "</f>
        <v xml:space="preserve"> </v>
      </c>
    </row>
    <row r="75" spans="1:9" x14ac:dyDescent="0.25">
      <c r="A75" s="10" t="str">
        <f>"Håndter opfølgningsopgave for stop-servicetraek"</f>
        <v>Håndter opfølgningsopgave for stop-servicetraek</v>
      </c>
      <c r="B75" t="str">
        <f>"Nej"</f>
        <v>Nej</v>
      </c>
      <c r="C75" t="str">
        <f>"Start af håndter opfølgningsopgave process for stop-servicetraek"</f>
        <v>Start af håndter opfølgningsopgave process for stop-servicetraek</v>
      </c>
      <c r="D75" t="str">
        <f>"PROC_OP_STOP_SERVICETRAEK"</f>
        <v>PROC_OP_STOP_SERVICETRAEK</v>
      </c>
      <c r="E75" t="str">
        <f>"HAANDTER_OPFOELGNINGSOPGAVE"</f>
        <v>HAANDTER_OPFOELGNINGSOPGAVE</v>
      </c>
      <c r="F75" t="str">
        <f>"Stop af servicetræk"</f>
        <v>Stop af servicetræk</v>
      </c>
      <c r="G75" t="str">
        <f>"0"</f>
        <v>0</v>
      </c>
      <c r="H75" t="str">
        <f>" "</f>
        <v xml:space="preserve"> </v>
      </c>
      <c r="I75" t="str">
        <f>" "</f>
        <v xml:space="preserve"> </v>
      </c>
    </row>
    <row r="76" spans="1:9" x14ac:dyDescent="0.25">
      <c r="A76" s="10" t="str">
        <f>"Håndter opfølgningsopgave for stop-ydelser"</f>
        <v>Håndter opfølgningsopgave for stop-ydelser</v>
      </c>
      <c r="B76" t="str">
        <f>"Nej"</f>
        <v>Nej</v>
      </c>
      <c r="C76" t="str">
        <f>"Start af håndter opfølgningsopgave process for stop-ydelser"</f>
        <v>Start af håndter opfølgningsopgave process for stop-ydelser</v>
      </c>
      <c r="D76" t="str">
        <f>"PROC_OP_STOP_YDELSER"</f>
        <v>PROC_OP_STOP_YDELSER</v>
      </c>
      <c r="E76" t="str">
        <f>"HAANDTER_OPFOELGNINGSOPGAVE"</f>
        <v>HAANDTER_OPFOELGNINGSOPGAVE</v>
      </c>
      <c r="F76" t="str">
        <f>"Stop af §43 træk"</f>
        <v>Stop af §43 træk</v>
      </c>
      <c r="G76" t="str">
        <f>"0"</f>
        <v>0</v>
      </c>
      <c r="H76" t="str">
        <f>" "</f>
        <v xml:space="preserve"> </v>
      </c>
      <c r="I76" t="str">
        <f>" "</f>
        <v xml:space="preserve"> </v>
      </c>
    </row>
    <row r="77" spans="1:9" x14ac:dyDescent="0.25">
      <c r="A77" s="10" t="str">
        <f>"Håndter opfølgningsopgave for tf_forkert_pensionstype"</f>
        <v>Håndter opfølgningsopgave for tf_forkert_pensionstype</v>
      </c>
      <c r="B77" t="str">
        <f>"Nej"</f>
        <v>Nej</v>
      </c>
      <c r="C77" t="str">
        <f>"Start af håndter opfølgningsopgave process for tf_forkert_pensionstype"</f>
        <v>Start af håndter opfølgningsopgave process for tf_forkert_pensionstype</v>
      </c>
      <c r="D77" t="str">
        <f>"PROC_OP_TF_FORKERT_PENSIONSTYPE"</f>
        <v>PROC_OP_TF_FORKERT_PENSIONSTYPE</v>
      </c>
      <c r="E77" t="str">
        <f>"HAANDTER_OPFOELGNINGSOPGAVE"</f>
        <v>HAANDTER_OPFOELGNINGSOPGAVE</v>
      </c>
      <c r="F77" t="str">
        <f>"Pensionist har forkert pensionstype for modtaget fradrag."</f>
        <v>Pensionist har forkert pensionstype for modtaget fradrag.</v>
      </c>
      <c r="G77" t="str">
        <f>"0"</f>
        <v>0</v>
      </c>
      <c r="H77" t="str">
        <f>" "</f>
        <v xml:space="preserve"> </v>
      </c>
      <c r="I77" t="str">
        <f>" "</f>
        <v xml:space="preserve"> </v>
      </c>
    </row>
    <row r="78" spans="1:9" x14ac:dyDescent="0.25">
      <c r="A78" s="10" t="str">
        <f>"Håndter opfølgningsopgave for tf_ikke_aktiv_handlekommune"</f>
        <v>Håndter opfølgningsopgave for tf_ikke_aktiv_handlekommune</v>
      </c>
      <c r="B78" t="str">
        <f>"Nej"</f>
        <v>Nej</v>
      </c>
      <c r="C78" t="str">
        <f>"Start af håndter opfølgningsopgave process for tf_ikke_aktiv_handlekommune"</f>
        <v>Start af håndter opfølgningsopgave process for tf_ikke_aktiv_handlekommune</v>
      </c>
      <c r="D78" t="str">
        <f>"PROC_OP_TF_IKKE_AKTIV_HANDLEKOMMUNE"</f>
        <v>PROC_OP_TF_IKKE_AKTIV_HANDLEKOMMUNE</v>
      </c>
      <c r="E78" t="str">
        <f>"HAANDTER_OPFOELGNINGSOPGAVE"</f>
        <v>HAANDTER_OPFOELGNINGSOPGAVE</v>
      </c>
      <c r="F78" t="str">
        <f>"Fradrag modtaget for borger som kommunen ikke er handlekommune for."</f>
        <v>Fradrag modtaget for borger som kommunen ikke er handlekommune for.</v>
      </c>
      <c r="G78" t="str">
        <f>"0"</f>
        <v>0</v>
      </c>
      <c r="H78" t="str">
        <f>" "</f>
        <v xml:space="preserve"> </v>
      </c>
      <c r="I78" t="str">
        <f>" "</f>
        <v xml:space="preserve"> </v>
      </c>
    </row>
    <row r="79" spans="1:9" x14ac:dyDescent="0.25">
      <c r="A79" s="10" t="str">
        <f>"Håndter opfølgningsopgave for tf_ikke_engangs_fradrag"</f>
        <v>Håndter opfølgningsopgave for tf_ikke_engangs_fradrag</v>
      </c>
      <c r="B79" t="str">
        <f>"Nej"</f>
        <v>Nej</v>
      </c>
      <c r="C79" t="str">
        <f>"Start af håndter opfølgningsopgave process for tf_ikke_engangs_fradrag"</f>
        <v>Start af håndter opfølgningsopgave process for tf_ikke_engangs_fradrag</v>
      </c>
      <c r="D79" t="str">
        <f>"PROC_OP_TF_IKKE_ENGANGS_FRADRAG"</f>
        <v>PROC_OP_TF_IKKE_ENGANGS_FRADRAG</v>
      </c>
      <c r="E79" t="str">
        <f>"HAANDTER_OPFOELGNINGSOPGAVE"</f>
        <v>HAANDTER_OPFOELGNINGSOPGAVE</v>
      </c>
      <c r="F79" t="str">
        <f>"Ikke-engangs fradrag er modtaget."</f>
        <v>Ikke-engangs fradrag er modtaget.</v>
      </c>
      <c r="G79" t="str">
        <f>"0"</f>
        <v>0</v>
      </c>
      <c r="H79" t="str">
        <f>" "</f>
        <v xml:space="preserve"> </v>
      </c>
      <c r="I79" t="str">
        <f>" "</f>
        <v xml:space="preserve"> </v>
      </c>
    </row>
    <row r="80" spans="1:9" x14ac:dyDescent="0.25">
      <c r="A80" s="10" t="str">
        <f>"Håndter opfølgningsopgave for tf_ikke_pensionist"</f>
        <v>Håndter opfølgningsopgave for tf_ikke_pensionist</v>
      </c>
      <c r="B80" t="str">
        <f>"Nej"</f>
        <v>Nej</v>
      </c>
      <c r="C80" t="str">
        <f>"Start af håndter opfølgningsopgave process for tf_ikke_pensionist"</f>
        <v>Start af håndter opfølgningsopgave process for tf_ikke_pensionist</v>
      </c>
      <c r="D80" t="str">
        <f>"PROC_OP_TF_IKKE_PENSIONIST"</f>
        <v>PROC_OP_TF_IKKE_PENSIONIST</v>
      </c>
      <c r="E80" t="str">
        <f>"HAANDTER_OPFOELGNINGSOPGAVE"</f>
        <v>HAANDTER_OPFOELGNINGSOPGAVE</v>
      </c>
      <c r="F80" t="str">
        <f>"Fradrag modtaget for ikke pensionist."</f>
        <v>Fradrag modtaget for ikke pensionist.</v>
      </c>
      <c r="G80" t="str">
        <f>"0"</f>
        <v>0</v>
      </c>
      <c r="H80" t="str">
        <f>" "</f>
        <v xml:space="preserve"> </v>
      </c>
      <c r="I80" t="str">
        <f>" "</f>
        <v xml:space="preserve"> </v>
      </c>
    </row>
    <row r="81" spans="1:9" x14ac:dyDescent="0.25">
      <c r="A81" s="10" t="str">
        <f>"Håndter opfølgningsopgave for tf_ikke_skattefrit_fradrag"</f>
        <v>Håndter opfølgningsopgave for tf_ikke_skattefrit_fradrag</v>
      </c>
      <c r="B81" t="str">
        <f>"Nej"</f>
        <v>Nej</v>
      </c>
      <c r="C81" t="str">
        <f>"Start af håndter opfølgningsopgave process for tf_ikke_skattefrit_fradrag"</f>
        <v>Start af håndter opfølgningsopgave process for tf_ikke_skattefrit_fradrag</v>
      </c>
      <c r="D81" t="str">
        <f>"PROC_OP_TF_IKKE_SKATTEFRIT_FRADRAG"</f>
        <v>PROC_OP_TF_IKKE_SKATTEFRIT_FRADRAG</v>
      </c>
      <c r="E81" t="str">
        <f>"HAANDTER_OPFOELGNINGSOPGAVE"</f>
        <v>HAANDTER_OPFOELGNINGSOPGAVE</v>
      </c>
      <c r="F81" t="str">
        <f>"Ikke-skattefrit fradrag er modtaget."</f>
        <v>Ikke-skattefrit fradrag er modtaget.</v>
      </c>
      <c r="G81" t="str">
        <f>"0"</f>
        <v>0</v>
      </c>
      <c r="H81" t="str">
        <f>" "</f>
        <v xml:space="preserve"> </v>
      </c>
      <c r="I81" t="str">
        <f>" "</f>
        <v xml:space="preserve"> </v>
      </c>
    </row>
    <row r="82" spans="1:9" x14ac:dyDescent="0.25">
      <c r="A82" s="10" t="str">
        <f>"Håndter opfølgningsopgave for tf_traektype_maa_ikke_bevilges"</f>
        <v>Håndter opfølgningsopgave for tf_traektype_maa_ikke_bevilges</v>
      </c>
      <c r="B82" t="str">
        <f>"Nej"</f>
        <v>Nej</v>
      </c>
      <c r="C82" t="str">
        <f>"Start af håndter opfølgningsopgave process for tf_traektype_maa_ikke_bevilges"</f>
        <v>Start af håndter opfølgningsopgave process for tf_traektype_maa_ikke_bevilges</v>
      </c>
      <c r="D82" t="str">
        <f>"PROC_OP_TF_TRAEKTYPE_MAA_IKKE_BEVILGES"</f>
        <v>PROC_OP_TF_TRAEKTYPE_MAA_IKKE_BEVILGES</v>
      </c>
      <c r="E82" t="str">
        <f>"HAANDTER_OPFOELGNINGSOPGAVE"</f>
        <v>HAANDTER_OPFOELGNINGSOPGAVE</v>
      </c>
      <c r="F82" t="str">
        <f>"Fradrag modtaget for træktype der ikke må bevilges."</f>
        <v>Fradrag modtaget for træktype der ikke må bevilges.</v>
      </c>
      <c r="G82" t="str">
        <f>"0"</f>
        <v>0</v>
      </c>
      <c r="H82" t="str">
        <f>" "</f>
        <v xml:space="preserve"> </v>
      </c>
      <c r="I82" t="str">
        <f>" "</f>
        <v xml:space="preserve"> </v>
      </c>
    </row>
    <row r="83" spans="1:9" x14ac:dyDescent="0.25">
      <c r="A83" s="10" t="str">
        <f>"Håndter opfølgningsopgave for tf_ugyldigt_cprnummer"</f>
        <v>Håndter opfølgningsopgave for tf_ugyldigt_cprnummer</v>
      </c>
      <c r="B83" t="str">
        <f>"Nej"</f>
        <v>Nej</v>
      </c>
      <c r="C83" t="str">
        <f>"Start af håndter opfølgningsopgave process for tf_ugyldigt_cprnummer"</f>
        <v>Start af håndter opfølgningsopgave process for tf_ugyldigt_cprnummer</v>
      </c>
      <c r="D83" t="str">
        <f>"PROC_OP_TF_UGYLDIGT_CPRNUMMER"</f>
        <v>PROC_OP_TF_UGYLDIGT_CPRNUMMER</v>
      </c>
      <c r="E83" t="str">
        <f>"HAANDTER_OPFOELGNINGSOPGAVE"</f>
        <v>HAANDTER_OPFOELGNINGSOPGAVE</v>
      </c>
      <c r="F83" t="str">
        <f>"Ugyldigt CPR nummer modtaget på fradrag."</f>
        <v>Ugyldigt CPR nummer modtaget på fradrag.</v>
      </c>
      <c r="G83" t="str">
        <f>"0"</f>
        <v>0</v>
      </c>
      <c r="H83" t="str">
        <f>" "</f>
        <v xml:space="preserve"> </v>
      </c>
      <c r="I83" t="str">
        <f>" "</f>
        <v xml:space="preserve"> </v>
      </c>
    </row>
    <row r="84" spans="1:9" x14ac:dyDescent="0.25">
      <c r="A84" s="10" t="str">
        <f>"Ukendt T/F kode modtaget."</f>
        <v>Ukendt T/F kode modtaget.</v>
      </c>
      <c r="B84" t="str">
        <f>"Nej"</f>
        <v>Nej</v>
      </c>
      <c r="C84" t="str">
        <f>"Start af håndter opfølgningsopgave process for tf_ukendt_tf_kode"</f>
        <v>Start af håndter opfølgningsopgave process for tf_ukendt_tf_kode</v>
      </c>
      <c r="D84" t="str">
        <f>"PROC_OP_TF_UKENDT_TF_KODE"</f>
        <v>PROC_OP_TF_UKENDT_TF_KODE</v>
      </c>
      <c r="E84" t="str">
        <f>"HAANDTER_OPFOELGNINGSOPGAVE"</f>
        <v>HAANDTER_OPFOELGNINGSOPGAVE</v>
      </c>
      <c r="F84" t="str">
        <f>"Ukendt T/F kode modtaget."</f>
        <v>Ukendt T/F kode modtaget.</v>
      </c>
      <c r="G84" t="str">
        <f>"0"</f>
        <v>0</v>
      </c>
      <c r="H84" t="str">
        <f>" "</f>
        <v xml:space="preserve"> </v>
      </c>
      <c r="I84" t="str">
        <f>" "</f>
        <v xml:space="preserve"> </v>
      </c>
    </row>
    <row r="85" spans="1:9" x14ac:dyDescent="0.25">
      <c r="A85" s="10" t="str">
        <f>"Håndter opfølgningsopgave for tf_validering_fejlet"</f>
        <v>Håndter opfølgningsopgave for tf_validering_fejlet</v>
      </c>
      <c r="B85" t="str">
        <f>"Nej"</f>
        <v>Nej</v>
      </c>
      <c r="C85" t="str">
        <f>"Start af håndter opfølgningsopgave process for tf_validering_fejlet"</f>
        <v>Start af håndter opfølgningsopgave process for tf_validering_fejlet</v>
      </c>
      <c r="D85" t="str">
        <f>"PROC_OP_TF_VALIDERING_FEJLET"</f>
        <v>PROC_OP_TF_VALIDERING_FEJLET</v>
      </c>
      <c r="E85" t="str">
        <f>"HAANDTER_OPFOELGNINGSOPGAVE"</f>
        <v>HAANDTER_OPFOELGNINGSOPGAVE</v>
      </c>
      <c r="F85" t="str">
        <f>"Forkert formateret fradrag modtaget."</f>
        <v>Forkert formateret fradrag modtaget.</v>
      </c>
      <c r="G85" t="str">
        <f>"0"</f>
        <v>0</v>
      </c>
      <c r="H85" t="str">
        <f>" "</f>
        <v xml:space="preserve"> </v>
      </c>
      <c r="I85" t="str">
        <f>" "</f>
        <v xml:space="preserve"> </v>
      </c>
    </row>
    <row r="86" spans="1:9" x14ac:dyDescent="0.25">
      <c r="A86" s="10" t="str">
        <f>"Håndter opfølgningsopgave for tid-til-opfoelgning"</f>
        <v>Håndter opfølgningsopgave for tid-til-opfoelgning</v>
      </c>
      <c r="B86" t="str">
        <f>"Nej"</f>
        <v>Nej</v>
      </c>
      <c r="C86" t="str">
        <f>"Start af håndter opfølgningsopgave process for tid-til-opfoelgning"</f>
        <v>Start af håndter opfølgningsopgave process for tid-til-opfoelgning</v>
      </c>
      <c r="D86" t="str">
        <f>"PROC_OP_TID_TIL_OPFOELGNING"</f>
        <v>PROC_OP_TID_TIL_OPFOELGNING</v>
      </c>
      <c r="E86" t="str">
        <f>"HAANDTER_OPFOELGNINGSOPGAVE"</f>
        <v>HAANDTER_OPFOELGNINGSOPGAVE</v>
      </c>
      <c r="F86" t="str">
        <f>"Tid til opfølgning"</f>
        <v>Tid til opfølgning</v>
      </c>
      <c r="G86" t="str">
        <f>"0"</f>
        <v>0</v>
      </c>
      <c r="H86" t="str">
        <f>" "</f>
        <v xml:space="preserve"> </v>
      </c>
      <c r="I86" t="str">
        <f>" "</f>
        <v xml:space="preserve"> </v>
      </c>
    </row>
    <row r="87" spans="1:9" x14ac:dyDescent="0.25">
      <c r="A87" s="10" t="str">
        <f>"Håndter opfølgningsopgave for TRAEKART_AENDRET"</f>
        <v>Håndter opfølgningsopgave for TRAEKART_AENDRET</v>
      </c>
      <c r="B87" t="str">
        <f>"Nej"</f>
        <v>Nej</v>
      </c>
      <c r="C87" t="str">
        <f>"Start af håndter opfølgningsopgave process for TRAEKART_AENDRET"</f>
        <v>Start af håndter opfølgningsopgave process for TRAEKART_AENDRET</v>
      </c>
      <c r="D87" t="str">
        <f>"PROC_OP_TRAEKART_AENDRET"</f>
        <v>PROC_OP_TRAEKART_AENDRET</v>
      </c>
      <c r="E87" t="str">
        <f>"HAANDTER_OPFOELGNINGSOPGAVE"</f>
        <v>HAANDTER_OPFOELGNINGSOPGAVE</v>
      </c>
      <c r="F87" t="str">
        <f>"Trækart ændret"</f>
        <v>Trækart ændret</v>
      </c>
      <c r="G87" t="str">
        <f>"0"</f>
        <v>0</v>
      </c>
      <c r="H87" t="str">
        <f>" "</f>
        <v xml:space="preserve"> </v>
      </c>
      <c r="I87" t="str">
        <f>" "</f>
        <v xml:space="preserve"> </v>
      </c>
    </row>
    <row r="88" spans="1:9" x14ac:dyDescent="0.25">
      <c r="A88" s="10" t="str">
        <f>"Håndter opfølgningsopgave for TRAEKART_OPRETTET"</f>
        <v>Håndter opfølgningsopgave for TRAEKART_OPRETTET</v>
      </c>
      <c r="B88" t="str">
        <f>"Nej"</f>
        <v>Nej</v>
      </c>
      <c r="C88" t="str">
        <f>"Start af håndter opfølgningsopgave process for TRAEKART_OPRETTET"</f>
        <v>Start af håndter opfølgningsopgave process for TRAEKART_OPRETTET</v>
      </c>
      <c r="D88" t="str">
        <f>"PROC_OP_TRAEKART_OPRETTET"</f>
        <v>PROC_OP_TRAEKART_OPRETTET</v>
      </c>
      <c r="E88" t="str">
        <f>"HAANDTER_OPFOELGNINGSOPGAVE"</f>
        <v>HAANDTER_OPFOELGNINGSOPGAVE</v>
      </c>
      <c r="F88" t="str">
        <f>"Trækart oprettet"</f>
        <v>Trækart oprettet</v>
      </c>
      <c r="G88" t="str">
        <f>"0"</f>
        <v>0</v>
      </c>
      <c r="H88" t="str">
        <f>" "</f>
        <v xml:space="preserve"> </v>
      </c>
      <c r="I88" t="str">
        <f>" "</f>
        <v xml:space="preserve"> </v>
      </c>
    </row>
    <row r="89" spans="1:9" x14ac:dyDescent="0.25">
      <c r="A89" s="10" t="str">
        <f>"Håndter opfølgningsopgave for UDKPE-ejer-aendret"</f>
        <v>Håndter opfølgningsopgave for UDKPE-ejer-aendret</v>
      </c>
      <c r="B89" t="str">
        <f>"Nej"</f>
        <v>Nej</v>
      </c>
      <c r="C89" t="str">
        <f>"Start af håndter opfølgningsopgave process for UDKPE-ejer-aendret"</f>
        <v>Start af håndter opfølgningsopgave process for UDKPE-ejer-aendret</v>
      </c>
      <c r="D89" t="str">
        <f>"PROC_OP_UDKPE_EJER_AENDRET"</f>
        <v>PROC_OP_UDKPE_EJER_AENDRET</v>
      </c>
      <c r="E89" t="str">
        <f>"HAANDTER_OPFOELGNINGSOPGAVE"</f>
        <v>HAANDTER_OPFOELGNINGSOPGAVE</v>
      </c>
      <c r="F89" t="str">
        <f>"Ejer kommune har ændret sig"</f>
        <v>Ejer kommune har ændret sig</v>
      </c>
      <c r="G89" t="str">
        <f>"0"</f>
        <v>0</v>
      </c>
      <c r="H89" t="str">
        <f>" "</f>
        <v xml:space="preserve"> </v>
      </c>
      <c r="I89" t="str">
        <f>" "</f>
        <v xml:space="preserve"> </v>
      </c>
    </row>
    <row r="90" spans="1:9" x14ac:dyDescent="0.25">
      <c r="A90" s="10" t="str">
        <f>"Håndter opfølgningsopgave for YDELSESART_AENDRET"</f>
        <v>Håndter opfølgningsopgave for YDELSESART_AENDRET</v>
      </c>
      <c r="B90" t="str">
        <f>"Nej"</f>
        <v>Nej</v>
      </c>
      <c r="C90" t="str">
        <f>"Start af håndter opfølgningsopgave process for YDELSESART_AENDRET"</f>
        <v>Start af håndter opfølgningsopgave process for YDELSESART_AENDRET</v>
      </c>
      <c r="D90" t="str">
        <f>"PROC_OP_YDELSESART_AENDRET"</f>
        <v>PROC_OP_YDELSESART_AENDRET</v>
      </c>
      <c r="E90" t="str">
        <f>"HAANDTER_OPFOELGNINGSOPGAVE"</f>
        <v>HAANDTER_OPFOELGNINGSOPGAVE</v>
      </c>
      <c r="F90" t="str">
        <f>"Ydelsesart ændret"</f>
        <v>Ydelsesart ændret</v>
      </c>
      <c r="G90" t="str">
        <f>"0"</f>
        <v>0</v>
      </c>
      <c r="H90" t="str">
        <f>" "</f>
        <v xml:space="preserve"> </v>
      </c>
      <c r="I90" t="str">
        <f>" "</f>
        <v xml:space="preserve"> </v>
      </c>
    </row>
    <row r="91" spans="1:9" x14ac:dyDescent="0.25">
      <c r="A91" s="10" t="str">
        <f>"Håndter opfølgningsopgave for YDELSESART_OPRETTET"</f>
        <v>Håndter opfølgningsopgave for YDELSESART_OPRETTET</v>
      </c>
      <c r="B91" t="str">
        <f>"Nej"</f>
        <v>Nej</v>
      </c>
      <c r="C91" t="str">
        <f>"Start af håndter opfølgningsopgave process for YDELSESART_OPRETTET"</f>
        <v>Start af håndter opfølgningsopgave process for YDELSESART_OPRETTET</v>
      </c>
      <c r="D91" t="str">
        <f>"PROC_OP_YDELSESART_OPRETTET"</f>
        <v>PROC_OP_YDELSESART_OPRETTET</v>
      </c>
      <c r="E91" t="str">
        <f>"HAANDTER_OPFOELGNINGSOPGAVE"</f>
        <v>HAANDTER_OPFOELGNINGSOPGAVE</v>
      </c>
      <c r="F91" t="str">
        <f>"Ydelsesart oprettet"</f>
        <v>Ydelsesart oprettet</v>
      </c>
      <c r="G91" t="str">
        <f>"0"</f>
        <v>0</v>
      </c>
      <c r="H91" t="str">
        <f>" "</f>
        <v xml:space="preserve"> </v>
      </c>
      <c r="I91" t="str">
        <f>" "</f>
        <v xml:space="preserve"> </v>
      </c>
    </row>
    <row r="92" spans="1:9" x14ac:dyDescent="0.25">
      <c r="A92" s="10" t="str">
        <f>"Ubehandlet advis fra KMD SAG"</f>
        <v>Ubehandlet advis fra KMD SAG</v>
      </c>
      <c r="B92" t="str">
        <f>"Nej"</f>
        <v>Nej</v>
      </c>
      <c r="C92" t="str">
        <f>"Benyttes til ubheandlede advidser fra kmd sag"</f>
        <v>Benyttes til ubheandlede advidser fra kmd sag</v>
      </c>
      <c r="D92" t="str">
        <f>"PROC_OP_INDKOMST_OVERSTIGER_GRAENSE"</f>
        <v>PROC_OP_INDKOMST_OVERSTIGER_GRAENSE</v>
      </c>
      <c r="E92" t="str">
        <f>"HAANDTER_OPFOELGNINGSOPGAVE"</f>
        <v>HAANDTER_OPFOELGNINGSOPGAVE</v>
      </c>
      <c r="F92" t="str">
        <f>"indkomst_overstiger_graense"</f>
        <v>indkomst_overstiger_graense</v>
      </c>
      <c r="G92" t="str">
        <f>"0"</f>
        <v>0</v>
      </c>
      <c r="H92" t="str">
        <f>" "</f>
        <v xml:space="preserve"> </v>
      </c>
      <c r="I92" t="str">
        <f>" "</f>
        <v xml:space="preserve"> </v>
      </c>
    </row>
    <row r="93" spans="1:9" x14ac:dyDescent="0.25">
      <c r="A93" s="10" t="str">
        <f>"Ubehandlet advis fra KMD SAG"</f>
        <v>Ubehandlet advis fra KMD SAG</v>
      </c>
      <c r="B93" t="str">
        <f>"Nej"</f>
        <v>Nej</v>
      </c>
      <c r="C93" t="str">
        <f>"Benyttes til ubheandlede advidser fra kmd sag"</f>
        <v>Benyttes til ubheandlede advidser fra kmd sag</v>
      </c>
      <c r="D93" t="str">
        <f>"PROC_OP_INDKOMST_UNDER_GRAENSE"</f>
        <v>PROC_OP_INDKOMST_UNDER_GRAENSE</v>
      </c>
      <c r="E93" t="str">
        <f>"HAANDTER_OPFOELGNINGSOPGAVE"</f>
        <v>HAANDTER_OPFOELGNINGSOPGAVE</v>
      </c>
      <c r="F93" t="str">
        <f>"indkomst_under_graense"</f>
        <v>indkomst_under_graense</v>
      </c>
      <c r="G93" t="str">
        <f>"0"</f>
        <v>0</v>
      </c>
      <c r="H93" t="str">
        <f>" "</f>
        <v xml:space="preserve"> </v>
      </c>
      <c r="I93" t="str">
        <f>" "</f>
        <v xml:space="preserve"> </v>
      </c>
    </row>
    <row r="94" spans="1:9" x14ac:dyDescent="0.25">
      <c r="A94" s="10" t="str">
        <f>"Håndter afvist træk, Trækanmodning afvist af UDKPE"</f>
        <v>Håndter afvist træk, Trækanmodning afvist af UDKPE</v>
      </c>
      <c r="B94" t="str">
        <f>"Nej"</f>
        <v>Nej</v>
      </c>
      <c r="C94" t="str">
        <f>"Start af håndter afvist træk proces"</f>
        <v>Start af håndter afvist træk proces</v>
      </c>
      <c r="D94" t="str">
        <f>"INT_HAANDTER_AFVIST_TRAEK"</f>
        <v>INT_HAANDTER_AFVIST_TRAEK</v>
      </c>
      <c r="E94" t="str">
        <f>"HAANDTER_AFVIST_TRAEK"</f>
        <v>HAANDTER_AFVIST_TRAEK</v>
      </c>
      <c r="F94" t="str">
        <f>" "</f>
        <v xml:space="preserve"> </v>
      </c>
      <c r="G94" t="str">
        <f>" "</f>
        <v xml:space="preserve"> </v>
      </c>
      <c r="H94" t="str">
        <f>" "</f>
        <v xml:space="preserve"> </v>
      </c>
      <c r="I94" t="str">
        <f>" "</f>
        <v xml:space="preserve"> </v>
      </c>
    </row>
    <row r="95" spans="1:9" x14ac:dyDescent="0.25">
      <c r="A95" s="10" t="str">
        <f>"Ubehandlet advis fra KMD SAG"</f>
        <v>Ubehandlet advis fra KMD SAG</v>
      </c>
      <c r="B95" t="str">
        <f>"Nej"</f>
        <v>Nej</v>
      </c>
      <c r="C95" t="str">
        <f>"Benyttes til ubheandlede advidser fra kmd sag"</f>
        <v>Benyttes til ubheandlede advidser fra kmd sag</v>
      </c>
      <c r="D95" t="str">
        <f>"PROC_OP_KONV_HAANDTER_OPFOELNINGSOPGAVE"</f>
        <v>PROC_OP_KONV_HAANDTER_OPFOELNINGSOPGAVE</v>
      </c>
      <c r="E95" t="str">
        <f>"HAANDTER_OPFOELGNINGSOPGAVE"</f>
        <v>HAANDTER_OPFOELGNINGSOPGAVE</v>
      </c>
      <c r="F95" t="str">
        <f>"KONV_HAANDTER_OPFOELNINGSOPGAVE"</f>
        <v>KONV_HAANDTER_OPFOELNINGSOPGAVE</v>
      </c>
      <c r="G95" t="str">
        <f>"0"</f>
        <v>0</v>
      </c>
      <c r="H95" t="str">
        <f>" "</f>
        <v xml:space="preserve"> </v>
      </c>
      <c r="I95" t="str">
        <f>" "</f>
        <v xml:space="preserve"> </v>
      </c>
    </row>
    <row r="96" spans="1:9" x14ac:dyDescent="0.25">
      <c r="A96" s="10" t="str">
        <f>"Opret sag"</f>
        <v>Opret sag</v>
      </c>
      <c r="B96" t="str">
        <f>"Nej"</f>
        <v>Nej</v>
      </c>
      <c r="C96" t="str">
        <f>"Start af opret sag process"</f>
        <v>Start af opret sag process</v>
      </c>
      <c r="D96" t="str">
        <f>"HD_OPRET_SAG"</f>
        <v>HD_OPRET_SAG</v>
      </c>
      <c r="E96" t="str">
        <f>"OPRET_SAG"</f>
        <v>OPRET_SAG</v>
      </c>
      <c r="F96" t="str">
        <f>" "</f>
        <v xml:space="preserve"> </v>
      </c>
      <c r="G96" t="str">
        <f>" "</f>
        <v xml:space="preserve"> </v>
      </c>
      <c r="H96" t="str">
        <f>" "</f>
        <v xml:space="preserve"> </v>
      </c>
      <c r="I96" t="str">
        <f>" "</f>
        <v xml:space="preserve"> </v>
      </c>
    </row>
    <row r="97" spans="1:9" x14ac:dyDescent="0.25">
      <c r="A97" s="10" t="str">
        <f>"Opret traek"</f>
        <v>Opret traek</v>
      </c>
      <c r="B97" t="str">
        <f>"Nej"</f>
        <v>Nej</v>
      </c>
      <c r="C97" t="str">
        <f>"Opret traek"</f>
        <v>Opret traek</v>
      </c>
      <c r="D97" t="str">
        <f>"HD_OPRET_TRAEK"</f>
        <v>HD_OPRET_TRAEK</v>
      </c>
      <c r="E97" t="str">
        <f>"OPRET_TRAEK"</f>
        <v>OPRET_TRAEK</v>
      </c>
      <c r="F97" t="str">
        <f>" "</f>
        <v xml:space="preserve"> </v>
      </c>
      <c r="G97" t="str">
        <f>" "</f>
        <v xml:space="preserve"> </v>
      </c>
      <c r="H97" t="str">
        <f>" "</f>
        <v xml:space="preserve"> </v>
      </c>
      <c r="I97" t="str">
        <f>" "</f>
        <v xml:space="preserve"> </v>
      </c>
    </row>
    <row r="98" spans="1:9" x14ac:dyDescent="0.25">
      <c r="A98" s="10" t="str">
        <f>"Opret træk"</f>
        <v>Opret træk</v>
      </c>
      <c r="B98" t="str">
        <f>"Nej"</f>
        <v>Nej</v>
      </c>
      <c r="C98" t="str">
        <f>"Opret træk startet automatisk"</f>
        <v>Opret træk startet automatisk</v>
      </c>
      <c r="D98" t="str">
        <f>"PROC_OPRET_TRAEK"</f>
        <v>PROC_OPRET_TRAEK</v>
      </c>
      <c r="E98" t="str">
        <f>"OPRET_TRAEK"</f>
        <v>OPRET_TRAEK</v>
      </c>
      <c r="F98" t="str">
        <f>" "</f>
        <v xml:space="preserve"> </v>
      </c>
      <c r="G98" t="str">
        <f>" "</f>
        <v xml:space="preserve"> </v>
      </c>
      <c r="H98" t="str">
        <f>" "</f>
        <v xml:space="preserve"> </v>
      </c>
      <c r="I98" t="str">
        <f>" "</f>
        <v xml:space="preserve"> </v>
      </c>
    </row>
    <row r="99" spans="1:9" x14ac:dyDescent="0.25">
      <c r="A99" s="10" t="str">
        <f>"Opret træk"</f>
        <v>Opret træk</v>
      </c>
      <c r="B99" t="str">
        <f>"Nej"</f>
        <v>Nej</v>
      </c>
      <c r="C99" t="str">
        <f>"Opret træk på baggrund af ændret planlagt udbetaling"</f>
        <v>Opret træk på baggrund af ændret planlagt udbetaling</v>
      </c>
      <c r="D99" t="str">
        <f>"PROC_OPRET_TRAEK_EFF_PLAN"</f>
        <v>PROC_OPRET_TRAEK_EFF_PLAN</v>
      </c>
      <c r="E99" t="str">
        <f>"OPRET_TRAEK"</f>
        <v>OPRET_TRAEK</v>
      </c>
      <c r="F99" t="str">
        <f>" "</f>
        <v xml:space="preserve"> </v>
      </c>
      <c r="G99" t="str">
        <f>" "</f>
        <v xml:space="preserve"> </v>
      </c>
      <c r="H99" t="str">
        <f>" "</f>
        <v xml:space="preserve"> </v>
      </c>
      <c r="I99" t="str">
        <f>" "</f>
        <v xml:space="preserve"> </v>
      </c>
    </row>
    <row r="100" spans="1:9" x14ac:dyDescent="0.25">
      <c r="A100" s="10" t="str">
        <f>"Opret traek"</f>
        <v>Opret traek</v>
      </c>
      <c r="B100" t="str">
        <f>"Nej"</f>
        <v>Nej</v>
      </c>
      <c r="C100" t="str">
        <f>"Opret traek"</f>
        <v>Opret traek</v>
      </c>
      <c r="D100" t="str">
        <f>"HD_OPRET_YDELSE"</f>
        <v>HD_OPRET_YDELSE</v>
      </c>
      <c r="E100" t="str">
        <f>"OPRET_YDELSE"</f>
        <v>OPRET_YDELSE</v>
      </c>
      <c r="F100" t="str">
        <f>" "</f>
        <v xml:space="preserve"> </v>
      </c>
      <c r="G100" t="str">
        <f>" "</f>
        <v xml:space="preserve"> </v>
      </c>
      <c r="H100" t="str">
        <f>" "</f>
        <v xml:space="preserve"> </v>
      </c>
      <c r="I100" t="str">
        <f>" "</f>
        <v xml:space="preserve"> </v>
      </c>
    </row>
    <row r="101" spans="1:9" x14ac:dyDescent="0.25">
      <c r="A101" s="10" t="str">
        <f>"Håndter afvist træk, Trækanmodning afvist kommunalt"</f>
        <v>Håndter afvist træk, Trækanmodning afvist kommunalt</v>
      </c>
      <c r="B101" t="str">
        <f>"Nej"</f>
        <v>Nej</v>
      </c>
      <c r="C101" t="str">
        <f>"Start af håndter afvist træk proces på baggrund af et kommunalt afvist træk"</f>
        <v>Start af håndter afvist træk proces på baggrund af et kommunalt afvist træk</v>
      </c>
      <c r="D101" t="str">
        <f>"PROC_HAANDTER_AFVIST_TRAEK"</f>
        <v>PROC_HAANDTER_AFVIST_TRAEK</v>
      </c>
      <c r="E101" t="str">
        <f>"HAANDTER_AFVIST_TRAEK"</f>
        <v>HAANDTER_AFVIST_TRAEK</v>
      </c>
      <c r="F101" t="str">
        <f>" "</f>
        <v xml:space="preserve"> </v>
      </c>
      <c r="G101" t="str">
        <f>" "</f>
        <v xml:space="preserve"> </v>
      </c>
      <c r="H101" t="str">
        <f>" "</f>
        <v xml:space="preserve"> </v>
      </c>
      <c r="I101" t="str">
        <f>" "</f>
        <v xml:space="preserve"> </v>
      </c>
    </row>
    <row r="102" spans="1:9" x14ac:dyDescent="0.25">
      <c r="A102" s="10" t="str">
        <f>"Redigér Institutionsophold"</f>
        <v>Redigér Institutionsophold</v>
      </c>
      <c r="B102" t="str">
        <f>"Nej"</f>
        <v>Nej</v>
      </c>
      <c r="C102" t="str">
        <f>"Redigér Institutionsophold"</f>
        <v>Redigér Institutionsophold</v>
      </c>
      <c r="D102" t="str">
        <f>"HD_REDIGER_INSTITUTIONSOPHOLD"</f>
        <v>HD_REDIGER_INSTITUTIONSOPHOLD</v>
      </c>
      <c r="E102" t="str">
        <f>"REDIGER_INSTITUTIONSOPHOLD"</f>
        <v>REDIGER_INSTITUTIONSOPHOLD</v>
      </c>
      <c r="F102" t="str">
        <f>" "</f>
        <v xml:space="preserve"> </v>
      </c>
      <c r="G102" t="str">
        <f>" "</f>
        <v xml:space="preserve"> </v>
      </c>
      <c r="H102" t="str">
        <f>" "</f>
        <v xml:space="preserve"> </v>
      </c>
      <c r="I102" t="str">
        <f>" "</f>
        <v xml:space="preserve"> </v>
      </c>
    </row>
    <row r="103" spans="1:9" x14ac:dyDescent="0.25">
      <c r="A103" s="10" t="str">
        <f>"Tag stilling til institutionsophold ifbm. tilflytning"</f>
        <v>Tag stilling til institutionsophold ifbm. tilflytning</v>
      </c>
      <c r="B103" t="str">
        <f>"Nej"</f>
        <v>Nej</v>
      </c>
      <c r="C103" t="str">
        <f>"Borger har været på institution i tidligere kommune. Tag stilling til om der skal oprettes et institutionsophold."</f>
        <v>Borger har været på institution i tidligere kommune. Tag stilling til om der skal oprettes et institutionsophold.</v>
      </c>
      <c r="D103" t="str">
        <f>"PROC_REDIGER_INSTITUTIONSOPHOLD"</f>
        <v>PROC_REDIGER_INSTITUTIONSOPHOLD</v>
      </c>
      <c r="E103" t="str">
        <f>"REDIGER_INSTITUTIONSOPHOLD"</f>
        <v>REDIGER_INSTITUTIONSOPHOLD</v>
      </c>
      <c r="F103" t="str">
        <f>" "</f>
        <v xml:space="preserve"> </v>
      </c>
      <c r="G103" t="str">
        <f>" "</f>
        <v xml:space="preserve"> </v>
      </c>
      <c r="H103" t="str">
        <f>" "</f>
        <v xml:space="preserve"> </v>
      </c>
      <c r="I103" t="str">
        <f>" "</f>
        <v xml:space="preserve"> </v>
      </c>
    </row>
    <row r="104" spans="1:9" x14ac:dyDescent="0.25">
      <c r="A104" s="10" t="str">
        <f>"Redigér planlagt udbetaling"</f>
        <v>Redigér planlagt udbetaling</v>
      </c>
      <c r="B104" t="str">
        <f>"Nej"</f>
        <v>Nej</v>
      </c>
      <c r="C104" t="str">
        <f>"Start af redigér planlagt udbetaling proces"</f>
        <v>Start af redigér planlagt udbetaling proces</v>
      </c>
      <c r="D104" t="str">
        <f>"HD_REDIGER_EFFEKTUERINGSPLAN"</f>
        <v>HD_REDIGER_EFFEKTUERINGSPLAN</v>
      </c>
      <c r="E104" t="str">
        <f>"REDIGER_EFFEKTUERINGSPLAN"</f>
        <v>REDIGER_EFFEKTUERINGSPLAN</v>
      </c>
      <c r="F104" t="str">
        <f>" "</f>
        <v xml:space="preserve"> </v>
      </c>
      <c r="G104" t="str">
        <f>" "</f>
        <v xml:space="preserve"> </v>
      </c>
      <c r="H104" t="str">
        <f>" "</f>
        <v xml:space="preserve"> </v>
      </c>
      <c r="I104" t="str">
        <f>" "</f>
        <v xml:space="preserve"> </v>
      </c>
    </row>
    <row r="105" spans="1:9" x14ac:dyDescent="0.25">
      <c r="A105" s="10" t="str">
        <f>"Rediger handleansvar"</f>
        <v>Rediger handleansvar</v>
      </c>
      <c r="B105" t="str">
        <f>"Nej"</f>
        <v>Nej</v>
      </c>
      <c r="C105" t="str">
        <f>"Rediger handleansvar"</f>
        <v>Rediger handleansvar</v>
      </c>
      <c r="D105" t="str">
        <f>"HD_REDIGER_HANDLEANSVAR"</f>
        <v>HD_REDIGER_HANDLEANSVAR</v>
      </c>
      <c r="E105" t="str">
        <f>"REDIGER_HANDLEANSVAR"</f>
        <v>REDIGER_HANDLEANSVAR</v>
      </c>
      <c r="F105" t="str">
        <f>" "</f>
        <v xml:space="preserve"> </v>
      </c>
      <c r="G105" t="str">
        <f>" "</f>
        <v xml:space="preserve"> </v>
      </c>
      <c r="H105" t="str">
        <f>" "</f>
        <v xml:space="preserve"> </v>
      </c>
      <c r="I105" t="str">
        <f>" "</f>
        <v xml:space="preserve"> </v>
      </c>
    </row>
    <row r="106" spans="1:9" x14ac:dyDescent="0.25">
      <c r="A106" s="10" t="str">
        <f>"Rediger handleansvar"</f>
        <v>Rediger handleansvar</v>
      </c>
      <c r="B106" t="str">
        <f>"Nej"</f>
        <v>Nej</v>
      </c>
      <c r="C106" t="str">
        <f>"Rediger handleansvar"</f>
        <v>Rediger handleansvar</v>
      </c>
      <c r="D106" t="str">
        <f>"PROC_REDIGER_HANDLEANSVAR_REGISTRERET_EKSTERN_FLYTNING"</f>
        <v>PROC_REDIGER_HANDLEANSVAR_REGISTRERET_EKSTERN_FLYTNING</v>
      </c>
      <c r="E106" t="str">
        <f>"FRAFLYTNING"</f>
        <v>FRAFLYTNING</v>
      </c>
      <c r="F106" t="str">
        <f>" "</f>
        <v xml:space="preserve"> </v>
      </c>
      <c r="G106" t="str">
        <f>" "</f>
        <v xml:space="preserve"> </v>
      </c>
      <c r="H106" t="str">
        <f>" "</f>
        <v xml:space="preserve"> </v>
      </c>
      <c r="I106" t="str">
        <f>" "</f>
        <v xml:space="preserve"> </v>
      </c>
    </row>
    <row r="107" spans="1:9" x14ac:dyDescent="0.25">
      <c r="A107" s="10" t="str">
        <f>"Rediger handleansvar"</f>
        <v>Rediger handleansvar</v>
      </c>
      <c r="B107" t="str">
        <f>"Nej"</f>
        <v>Nej</v>
      </c>
      <c r="C107" t="str">
        <f>"Rediger handleansvar"</f>
        <v>Rediger handleansvar</v>
      </c>
      <c r="D107" t="str">
        <f>"PROC_REDIGER_HANDLEANSVAR_REGISTRERET_INTERN_FLYTNING"</f>
        <v>PROC_REDIGER_HANDLEANSVAR_REGISTRERET_INTERN_FLYTNING</v>
      </c>
      <c r="E107" t="str">
        <f>"FRAFLYTNING"</f>
        <v>FRAFLYTNING</v>
      </c>
      <c r="F107" t="str">
        <f>" "</f>
        <v xml:space="preserve"> </v>
      </c>
      <c r="G107" t="str">
        <f>" "</f>
        <v xml:space="preserve"> </v>
      </c>
      <c r="H107" t="str">
        <f>" "</f>
        <v xml:space="preserve"> </v>
      </c>
      <c r="I107" t="str">
        <f>" "</f>
        <v xml:space="preserve"> </v>
      </c>
    </row>
    <row r="108" spans="1:9" x14ac:dyDescent="0.25">
      <c r="A108" s="10" t="str">
        <f>"Rediger handleansvar"</f>
        <v>Rediger handleansvar</v>
      </c>
      <c r="B108" t="str">
        <f>"Nej"</f>
        <v>Nej</v>
      </c>
      <c r="C108" t="str">
        <f>"Rediger handleansvar"</f>
        <v>Rediger handleansvar</v>
      </c>
      <c r="D108" t="str">
        <f>"PROC_REDIGER_HANDLEANSVAR_REGISTRERET_NY_FLYTNING_DATO"</f>
        <v>PROC_REDIGER_HANDLEANSVAR_REGISTRERET_NY_FLYTNING_DATO</v>
      </c>
      <c r="E108" t="str">
        <f>"FRAFLYTNING"</f>
        <v>FRAFLYTNING</v>
      </c>
      <c r="F108" t="str">
        <f>" "</f>
        <v xml:space="preserve"> </v>
      </c>
      <c r="G108" t="str">
        <f>" "</f>
        <v xml:space="preserve"> </v>
      </c>
      <c r="H108" t="str">
        <f>" "</f>
        <v xml:space="preserve"> </v>
      </c>
      <c r="I108" t="str">
        <f>" "</f>
        <v xml:space="preserve"> </v>
      </c>
    </row>
    <row r="109" spans="1:9" x14ac:dyDescent="0.25">
      <c r="A109" s="10" t="str">
        <f>"Registrer kontaktperson"</f>
        <v>Registrer kontaktperson</v>
      </c>
      <c r="B109" t="str">
        <f>"Nej"</f>
        <v>Nej</v>
      </c>
      <c r="C109" t="str">
        <f>"Registrer kontaktperson"</f>
        <v>Registrer kontaktperson</v>
      </c>
      <c r="D109" t="str">
        <f>"HD_REGISTRER_KONTAKTPERSON_VAERGE"</f>
        <v>HD_REGISTRER_KONTAKTPERSON_VAERGE</v>
      </c>
      <c r="E109" t="str">
        <f>"REGISTRER_KONTAKTPERSON_VAERGE"</f>
        <v>REGISTRER_KONTAKTPERSON_VAERGE</v>
      </c>
      <c r="F109" t="str">
        <f>" "</f>
        <v xml:space="preserve"> </v>
      </c>
      <c r="G109" t="str">
        <f>" "</f>
        <v xml:space="preserve"> </v>
      </c>
      <c r="H109" t="str">
        <f>" "</f>
        <v xml:space="preserve"> </v>
      </c>
      <c r="I109" t="str">
        <f>" "</f>
        <v xml:space="preserve"> </v>
      </c>
    </row>
    <row r="110" spans="1:9" x14ac:dyDescent="0.25">
      <c r="A110" s="10" t="str">
        <f>"Registrer særlige oplysninger"</f>
        <v>Registrer særlige oplysninger</v>
      </c>
      <c r="B110" t="str">
        <f>"Nej"</f>
        <v>Nej</v>
      </c>
      <c r="C110" t="str">
        <f>"Registrer særlige oplysninger"</f>
        <v>Registrer særlige oplysninger</v>
      </c>
      <c r="D110" t="str">
        <f>"HD_REGISTRER_SAERLIGE_OPLYSNINGER"</f>
        <v>HD_REGISTRER_SAERLIGE_OPLYSNINGER</v>
      </c>
      <c r="E110" t="str">
        <f>"REGISTRER_SAERLIGE_OPLYSNINGER"</f>
        <v>REGISTRER_SAERLIGE_OPLYSNINGER</v>
      </c>
      <c r="F110" t="str">
        <f>" "</f>
        <v xml:space="preserve"> </v>
      </c>
      <c r="G110" t="str">
        <f>" "</f>
        <v xml:space="preserve"> </v>
      </c>
      <c r="H110" t="str">
        <f>" "</f>
        <v xml:space="preserve"> </v>
      </c>
      <c r="I110" t="str">
        <f>" "</f>
        <v xml:space="preserve"> </v>
      </c>
    </row>
    <row r="111" spans="1:9" x14ac:dyDescent="0.25">
      <c r="A111" s="10" t="str">
        <f>"Rediger træk"</f>
        <v>Rediger træk</v>
      </c>
      <c r="B111" t="str">
        <f>"Nej"</f>
        <v>Nej</v>
      </c>
      <c r="C111" t="str">
        <f>"Rediger træk"</f>
        <v>Rediger træk</v>
      </c>
      <c r="D111" t="str">
        <f>"HD_RET_TRAEKPLAN"</f>
        <v>HD_RET_TRAEKPLAN</v>
      </c>
      <c r="E111" t="str">
        <f>"RET_TRAEKPLAN"</f>
        <v>RET_TRAEKPLAN</v>
      </c>
      <c r="F111" t="str">
        <f>" "</f>
        <v xml:space="preserve"> </v>
      </c>
      <c r="G111" t="str">
        <f>" "</f>
        <v xml:space="preserve"> </v>
      </c>
      <c r="H111" t="str">
        <f>" "</f>
        <v xml:space="preserve"> </v>
      </c>
      <c r="I111" t="str">
        <f>" "</f>
        <v xml:space="preserve"> </v>
      </c>
    </row>
    <row r="112" spans="1:9" x14ac:dyDescent="0.25">
      <c r="A112" s="10" t="str">
        <f>"Send brev"</f>
        <v>Send brev</v>
      </c>
      <c r="B112" t="str">
        <f>"Nej"</f>
        <v>Nej</v>
      </c>
      <c r="C112" t="str">
        <f>"Start af send brev process"</f>
        <v>Start af send brev process</v>
      </c>
      <c r="D112" t="str">
        <f>"HD_SENDBREV"</f>
        <v>HD_SENDBREV</v>
      </c>
      <c r="E112" t="str">
        <f>"SEND_BREV"</f>
        <v>SEND_BREV</v>
      </c>
      <c r="F112" t="str">
        <f>" "</f>
        <v xml:space="preserve"> </v>
      </c>
      <c r="G112" t="str">
        <f>"SEND_BREV"</f>
        <v>SEND_BREV</v>
      </c>
      <c r="H112" t="str">
        <f>" "</f>
        <v xml:space="preserve"> </v>
      </c>
      <c r="I112" t="str">
        <f>" "</f>
        <v xml:space="preserve"> </v>
      </c>
    </row>
    <row r="113" spans="1:9" x14ac:dyDescent="0.25">
      <c r="A113" s="10" t="str">
        <f>"Stop sag"</f>
        <v>Stop sag</v>
      </c>
      <c r="B113" t="str">
        <f>"Nej"</f>
        <v>Nej</v>
      </c>
      <c r="C113" t="str">
        <f>"Start af stop sag process"</f>
        <v>Start af stop sag process</v>
      </c>
      <c r="D113" t="str">
        <f>"HD_STOP_SAG"</f>
        <v>HD_STOP_SAG</v>
      </c>
      <c r="E113" t="str">
        <f>"STOP_SAG"</f>
        <v>STOP_SAG</v>
      </c>
      <c r="F113" t="str">
        <f>" "</f>
        <v xml:space="preserve"> </v>
      </c>
      <c r="G113" t="str">
        <f>" "</f>
        <v xml:space="preserve"> </v>
      </c>
      <c r="H113" t="str">
        <f>" "</f>
        <v xml:space="preserve"> </v>
      </c>
      <c r="I113" t="str">
        <f>" "</f>
        <v xml:space="preserve"> </v>
      </c>
    </row>
    <row r="114" spans="1:9" x14ac:dyDescent="0.25">
      <c r="A114" s="10" t="str">
        <f>"Ubehandlet advis fra KMD SAG"</f>
        <v>Ubehandlet advis fra KMD SAG</v>
      </c>
      <c r="B114" t="str">
        <f>"Nej"</f>
        <v>Nej</v>
      </c>
      <c r="C114" t="str">
        <f>"Benyttes til ubheandlede advidser fra kmd sag"</f>
        <v>Benyttes til ubheandlede advidser fra kmd sag</v>
      </c>
      <c r="D114" t="str">
        <f>"PROC_OP_UBEHANDLET_ADVIS_FRA_KMD_SAG"</f>
        <v>PROC_OP_UBEHANDLET_ADVIS_FRA_KMD_SAG</v>
      </c>
      <c r="E114" t="str">
        <f>"HAANDTER_OPFOELGNINGSOPGAVE"</f>
        <v>HAANDTER_OPFOELGNINGSOPGAVE</v>
      </c>
      <c r="F114" t="str">
        <f>"Ubehandlet advis fra KMD SAG konverteret"</f>
        <v>Ubehandlet advis fra KMD SAG konverteret</v>
      </c>
      <c r="G114" t="str">
        <f>"0"</f>
        <v>0</v>
      </c>
      <c r="H114" t="str">
        <f>" "</f>
        <v xml:space="preserve"> </v>
      </c>
      <c r="I114" t="str">
        <f>" "</f>
        <v xml:space="preserve"> </v>
      </c>
    </row>
    <row r="115" spans="1:9" x14ac:dyDescent="0.25">
      <c r="A115" s="10" t="str">
        <f>"Håndter opfølgningsopgave for journalnotat med finansieringskommunedata"</f>
        <v>Håndter opfølgningsopgave for journalnotat med finansieringskommunedata</v>
      </c>
      <c r="B115" t="str">
        <f>"Nej"</f>
        <v>Nej</v>
      </c>
      <c r="C115" t="str">
        <f>"Start af håndter opfølgningsopgave process for journalnotat med finansieringskommunedata"</f>
        <v>Start af håndter opfølgningsopgave process for journalnotat med finansieringskommunedata</v>
      </c>
      <c r="D115" t="str">
        <f>"PROC_OP_KONV_FIN_JOURNALNOTAT"</f>
        <v>PROC_OP_KONV_FIN_JOURNALNOTAT</v>
      </c>
      <c r="E115" t="str">
        <f>"HAANDTER_OPFOELGNINGSOPGAVE"</f>
        <v>HAANDTER_OPFOELGNINGSOPGAVE</v>
      </c>
      <c r="F115" t="str">
        <f>"Gennemgå finansieringskommunedata i journalnotat."</f>
        <v>Gennemgå finansieringskommunedata i journalnotat.</v>
      </c>
      <c r="G115" t="str">
        <f>"0"</f>
        <v>0</v>
      </c>
      <c r="H115" t="str">
        <f>" "</f>
        <v xml:space="preserve"> </v>
      </c>
      <c r="I115" t="str">
        <f>" "</f>
        <v xml:space="preserve"> </v>
      </c>
    </row>
    <row r="116" spans="1:9" x14ac:dyDescent="0.25">
      <c r="A116" s="10" t="str">
        <f>"Rådighedsberegning"</f>
        <v>Rådighedsberegning</v>
      </c>
      <c r="B116" t="str">
        <f>"Nej"</f>
        <v>Nej</v>
      </c>
      <c r="C116" t="str">
        <f>"Start af rådighedsberegning process"</f>
        <v>Start af rådighedsberegning process</v>
      </c>
      <c r="D116" t="str">
        <f>"PROC_RAADIGHEDSBEREGNING"</f>
        <v>PROC_RAADIGHEDSBEREGNING</v>
      </c>
      <c r="E116" t="str">
        <f>"RAADIGHEDSBEREGNING"</f>
        <v>RAADIGHEDSBEREGNING</v>
      </c>
      <c r="F116" t="str">
        <f>" "</f>
        <v xml:space="preserve"> </v>
      </c>
      <c r="G116" t="str">
        <f>" "</f>
        <v xml:space="preserve"> </v>
      </c>
      <c r="H116" t="str">
        <f>" "</f>
        <v xml:space="preserve"> </v>
      </c>
      <c r="I116" t="str">
        <f>" "</f>
        <v xml:space="preserve"> </v>
      </c>
    </row>
    <row r="117" spans="1:9" x14ac:dyDescent="0.25">
      <c r="A117" s="10" t="str">
        <f>"Send brev"</f>
        <v>Send brev</v>
      </c>
      <c r="B117" t="str">
        <f>"Nej"</f>
        <v>Nej</v>
      </c>
      <c r="C117" t="str">
        <f>"Start af send brev process"</f>
        <v>Start af send brev process</v>
      </c>
      <c r="D117" t="str">
        <f>"PROC_SENDBREV"</f>
        <v>PROC_SENDBREV</v>
      </c>
      <c r="E117" t="str">
        <f>"SEND_BREV"</f>
        <v>SEND_BREV</v>
      </c>
      <c r="F117" t="str">
        <f>" "</f>
        <v xml:space="preserve"> </v>
      </c>
      <c r="G117" t="str">
        <f>"14"</f>
        <v>14</v>
      </c>
      <c r="H117" t="str">
        <f>" "</f>
        <v xml:space="preserve"> </v>
      </c>
      <c r="I117" t="str">
        <f>" "</f>
        <v xml:space="preserve"> </v>
      </c>
    </row>
    <row r="118" spans="1:9" x14ac:dyDescent="0.25">
      <c r="A118" s="10" t="str">
        <f>"Send kvik udbetalingsspecifikation"</f>
        <v>Send kvik udbetalingsspecifikation</v>
      </c>
      <c r="B118" t="str">
        <f>"Nej"</f>
        <v>Nej</v>
      </c>
      <c r="C118" t="str">
        <f>"Start af send brev process"</f>
        <v>Start af send brev process</v>
      </c>
      <c r="D118" t="str">
        <f>"SEND_KVIK_UDBETALINGSPECIFIKATION"</f>
        <v>SEND_KVIK_UDBETALINGSPECIFIKATION</v>
      </c>
      <c r="E118" t="str">
        <f>"SEND_BREV"</f>
        <v>SEND_BREV</v>
      </c>
      <c r="F118" t="str">
        <f>" "</f>
        <v xml:space="preserve"> </v>
      </c>
      <c r="G118" t="str">
        <f>"14"</f>
        <v>14</v>
      </c>
      <c r="H118" t="str">
        <f>" "</f>
        <v xml:space="preserve"> </v>
      </c>
      <c r="I118" t="str">
        <f>" "</f>
        <v xml:space="preserve"> 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0E607AEC89A64FB01FB1CE00625A5F" ma:contentTypeVersion="11" ma:contentTypeDescription="Opret et nyt dokument." ma:contentTypeScope="" ma:versionID="08eeacecd7cf9fa4b62276a3e3a7ecf7">
  <xsd:schema xmlns:xsd="http://www.w3.org/2001/XMLSchema" xmlns:xs="http://www.w3.org/2001/XMLSchema" xmlns:p="http://schemas.microsoft.com/office/2006/metadata/properties" xmlns:ns2="96c47bad-65db-4d5f-86bb-1c02544a7891" xmlns:ns3="http://schemas.microsoft.com/sharepoint/v4" xmlns:ns4="f82b57f8-2ccb-4ab0-a5d2-1bfd24bdaa36" targetNamespace="http://schemas.microsoft.com/office/2006/metadata/properties" ma:root="true" ma:fieldsID="4b1b9caf7c048ffd508799d88ac70002" ns2:_="" ns3:_="" ns4:_="">
    <xsd:import namespace="96c47bad-65db-4d5f-86bb-1c02544a7891"/>
    <xsd:import namespace="http://schemas.microsoft.com/sharepoint/v4"/>
    <xsd:import namespace="f82b57f8-2ccb-4ab0-a5d2-1bfd24bdaa36"/>
    <xsd:element name="properties">
      <xsd:complexType>
        <xsd:sequence>
          <xsd:element name="documentManagement">
            <xsd:complexType>
              <xsd:all>
                <xsd:element ref="ns2:Forsideemne" minOccurs="0"/>
                <xsd:element ref="ns2:_x002d_" minOccurs="0"/>
                <xsd:element ref="ns2:_x002d__x002d_" minOccurs="0"/>
                <xsd:element ref="ns2:Sortering" minOccurs="0"/>
                <xsd:element ref="ns2:Download" minOccurs="0"/>
                <xsd:element ref="ns3:IconOverlay" minOccurs="0"/>
                <xsd:element ref="ns2:yboy" minOccurs="0"/>
                <xsd:element ref="ns2:_x002d__x002d__x002d_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47bad-65db-4d5f-86bb-1c02544a7891" elementFormDefault="qualified">
    <xsd:import namespace="http://schemas.microsoft.com/office/2006/documentManagement/types"/>
    <xsd:import namespace="http://schemas.microsoft.com/office/infopath/2007/PartnerControls"/>
    <xsd:element name="Forsideemne" ma:index="2" nillable="true" ma:displayName="Forsideemne" ma:format="Dropdown" ma:internalName="Forsideemne">
      <xsd:simpleType>
        <xsd:restriction base="dms:Choice">
          <xsd:enumeration value="Forvaltningshåndbog"/>
          <xsd:enumeration value="Høringsmateriale"/>
          <xsd:enumeration value="KL-breve"/>
          <xsd:enumeration value="KLIK-opgaver"/>
          <xsd:enumeration value="KLIK-opgaver og bilag (KP Basis)"/>
          <xsd:enumeration value="KLIK-opgaver og bilag (KP)"/>
          <xsd:enumeration value="Bilag (KP Basis)"/>
          <xsd:enumeration value="Præsentationer"/>
          <xsd:enumeration value="Præsentationer (KMD SPK)"/>
          <xsd:enumeration value="Generelle præsentationer (KP Basis)"/>
          <xsd:enumeration value="Implementeringshåndbog for KMD SPK"/>
          <xsd:enumeration value="Implementeringsmaterialer (KP Basis)"/>
          <xsd:enumeration value="Implementeringsmaterialer (KP)"/>
          <xsd:enumeration value="SPK integrationer"/>
          <xsd:enumeration value="Vejledninger mv. (KP)"/>
          <xsd:enumeration value="Webinar om brugen af KMD SPK"/>
          <xsd:enumeration value="Webinarer om KLIK-opgaver (KP Basis)"/>
          <xsd:enumeration value="Webinarer om KLIK-opgaver (KP)"/>
          <xsd:enumeration value="Webinarer om release 2.0 (KP)"/>
          <xsd:enumeration value="Møder (KP)"/>
          <xsd:enumeration value="Netværksmøder (KP Basis)"/>
          <xsd:enumeration value="Undervisning for systemadministratorer (KP Basis)"/>
          <xsd:enumeration value="Undervisning for superbrugere (KP Basis)"/>
          <xsd:enumeration value="Undervisning for medarbejdere m/ økonomiopgaver (KP Basis)"/>
          <xsd:enumeration value="Undervisning for supportberettigede brugere (KP Basis)"/>
          <xsd:enumeration value="Ændringsforslag og releases (KP)"/>
          <xsd:enumeration value="UDK Pension"/>
          <xsd:enumeration value="Teamvejledninger (KP)"/>
          <xsd:enumeration value="Træningsmiljø (KP)"/>
        </xsd:restriction>
      </xsd:simpleType>
    </xsd:element>
    <xsd:element name="_x002d_" ma:index="3" nillable="true" ma:displayName="-" ma:internalName="_x002d_">
      <xsd:simpleType>
        <xsd:restriction base="dms:Text">
          <xsd:maxLength value="255"/>
        </xsd:restriction>
      </xsd:simpleType>
    </xsd:element>
    <xsd:element name="_x002d__x002d_" ma:index="4" nillable="true" ma:displayName="--" ma:internalName="_x002d__x002d_">
      <xsd:simpleType>
        <xsd:restriction base="dms:Text">
          <xsd:maxLength value="255"/>
        </xsd:restriction>
      </xsd:simpleType>
    </xsd:element>
    <xsd:element name="Sortering" ma:index="5" nillable="true" ma:displayName="Sortering" ma:decimals="0" ma:internalName="Sortering">
      <xsd:simpleType>
        <xsd:restriction base="dms:Number"/>
      </xsd:simpleType>
    </xsd:element>
    <xsd:element name="Download" ma:index="6" nillable="true" ma:displayName="Download" ma:internalName="Download">
      <xsd:simpleType>
        <xsd:restriction base="dms:Text">
          <xsd:maxLength value="255"/>
        </xsd:restriction>
      </xsd:simpleType>
    </xsd:element>
    <xsd:element name="yboy" ma:index="14" nillable="true" ma:displayName="Person eller gruppe" ma:list="UserInfo" ma:internalName="ybo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2d__x002d__x002d_" ma:index="15" ma:displayName="---" ma:internalName="_x002d__x002d__x002d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b57f8-2ccb-4ab0-a5d2-1bfd24bda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d__x002d__x002d_ xmlns="96c47bad-65db-4d5f-86bb-1c02544a7891">Opgavepakker</_x002d__x002d__x002d_>
    <_x002d__x002d_ xmlns="96c47bad-65db-4d5f-86bb-1c02544a7891" xsi:nil="true"/>
    <IconOverlay xmlns="http://schemas.microsoft.com/sharepoint/v4" xsi:nil="true"/>
    <Sortering xmlns="96c47bad-65db-4d5f-86bb-1c02544a7891">1</Sortering>
    <Download xmlns="96c47bad-65db-4d5f-86bb-1c02544a7891" xsi:nil="true"/>
    <yboy xmlns="96c47bad-65db-4d5f-86bb-1c02544a7891">
      <UserInfo>
        <DisplayName/>
        <AccountId xsi:nil="true"/>
        <AccountType/>
      </UserInfo>
    </yboy>
    <_x002d_ xmlns="96c47bad-65db-4d5f-86bb-1c02544a7891">Opgavepakker</_x002d_>
    <Forsideemne xmlns="96c47bad-65db-4d5f-86bb-1c02544a7891">Teamvejledninger (KP)</Forsideemne>
  </documentManagement>
</p:properties>
</file>

<file path=customXml/itemProps1.xml><?xml version="1.0" encoding="utf-8"?>
<ds:datastoreItem xmlns:ds="http://schemas.openxmlformats.org/officeDocument/2006/customXml" ds:itemID="{FC1142F1-FCB0-4A05-AE9A-9F49FD23DB24}"/>
</file>

<file path=customXml/itemProps2.xml><?xml version="1.0" encoding="utf-8"?>
<ds:datastoreItem xmlns:ds="http://schemas.openxmlformats.org/officeDocument/2006/customXml" ds:itemID="{DE4F8934-600F-4854-B636-2A1B5EECE059}"/>
</file>

<file path=customXml/itemProps3.xml><?xml version="1.0" encoding="utf-8"?>
<ds:datastoreItem xmlns:ds="http://schemas.openxmlformats.org/officeDocument/2006/customXml" ds:itemID="{F309B0EB-D174-4B37-8C5D-34B4C3ECB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Sønderborg opgavepakker</vt:lpstr>
      <vt:lpstr>Sønderborg hændelsesabonnemente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Otto Plantener Jensen</dc:creator>
  <cp:lastModifiedBy>Otto Plantener Jensen</cp:lastModifiedBy>
  <dcterms:created xsi:type="dcterms:W3CDTF">2022-09-05T13:24:41Z</dcterms:created>
  <dcterms:modified xsi:type="dcterms:W3CDTF">2022-09-05T13:39:29Z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0x010100D50E607AEC89A64FB01FB1CE00625A5F</vt:lpwstr>
  </property>
</Properties>
</file>